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jacobgreenspon/Desktop/AUS President/"/>
    </mc:Choice>
  </mc:AlternateContent>
  <bookViews>
    <workbookView xWindow="640" yWindow="1180" windowWidth="24960" windowHeight="1402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1" i="1" l="1"/>
  <c r="B38" i="1"/>
  <c r="B50" i="1"/>
  <c r="B37" i="1"/>
  <c r="B53" i="1"/>
  <c r="B58" i="1"/>
  <c r="B59" i="1"/>
  <c r="L41" i="1"/>
  <c r="L42" i="1"/>
  <c r="L43" i="1"/>
  <c r="L46" i="1"/>
  <c r="K41" i="1"/>
  <c r="K42" i="1"/>
  <c r="K43" i="1"/>
  <c r="K46" i="1"/>
  <c r="J41" i="1"/>
  <c r="J42" i="1"/>
  <c r="J43" i="1"/>
  <c r="J46" i="1"/>
  <c r="B21" i="1"/>
  <c r="B20" i="1"/>
  <c r="B22" i="1"/>
  <c r="B23" i="1"/>
  <c r="B24" i="1"/>
  <c r="B25" i="1"/>
  <c r="B26" i="1"/>
  <c r="B40" i="1"/>
  <c r="B45" i="1"/>
  <c r="B46" i="1"/>
  <c r="Y32" i="1"/>
  <c r="R33" i="1"/>
  <c r="Y33" i="1"/>
  <c r="Y34" i="1"/>
  <c r="Y36" i="1"/>
  <c r="X32" i="1"/>
  <c r="X33" i="1"/>
  <c r="X34" i="1"/>
  <c r="X36" i="1"/>
  <c r="W32" i="1"/>
  <c r="W33" i="1"/>
  <c r="W34" i="1"/>
  <c r="W36" i="1"/>
  <c r="V32" i="1"/>
  <c r="V33" i="1"/>
  <c r="V34" i="1"/>
  <c r="V36" i="1"/>
  <c r="U32" i="1"/>
  <c r="U33" i="1"/>
  <c r="U34" i="1"/>
  <c r="U36" i="1"/>
  <c r="T32" i="1"/>
  <c r="T33" i="1"/>
  <c r="T34" i="1"/>
  <c r="T36" i="1"/>
  <c r="S32" i="1"/>
  <c r="S33" i="1"/>
  <c r="S34" i="1"/>
  <c r="S36" i="1"/>
  <c r="O32" i="1"/>
  <c r="H33" i="1"/>
  <c r="O33" i="1"/>
  <c r="O34" i="1"/>
  <c r="O36" i="1"/>
  <c r="N32" i="1"/>
  <c r="N33" i="1"/>
  <c r="N34" i="1"/>
  <c r="N36" i="1"/>
  <c r="M32" i="1"/>
  <c r="M33" i="1"/>
  <c r="M34" i="1"/>
  <c r="M36" i="1"/>
  <c r="L32" i="1"/>
  <c r="L33" i="1"/>
  <c r="L34" i="1"/>
  <c r="L36" i="1"/>
  <c r="K32" i="1"/>
  <c r="K33" i="1"/>
  <c r="K34" i="1"/>
  <c r="K36" i="1"/>
  <c r="J32" i="1"/>
  <c r="J33" i="1"/>
  <c r="J34" i="1"/>
  <c r="J36" i="1"/>
  <c r="I32" i="1"/>
  <c r="I33" i="1"/>
  <c r="I34" i="1"/>
  <c r="I36" i="1"/>
  <c r="Y35" i="1"/>
  <c r="X35" i="1"/>
  <c r="W35" i="1"/>
  <c r="V35" i="1"/>
  <c r="U35" i="1"/>
  <c r="T35" i="1"/>
  <c r="S35" i="1"/>
  <c r="O35" i="1"/>
  <c r="N35" i="1"/>
  <c r="M35" i="1"/>
  <c r="L35" i="1"/>
  <c r="K35" i="1"/>
  <c r="J35" i="1"/>
  <c r="I35" i="1"/>
  <c r="C16" i="1"/>
  <c r="C32" i="1"/>
  <c r="C34" i="1"/>
  <c r="B16" i="1"/>
  <c r="B32" i="1"/>
  <c r="B34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Y24" i="1"/>
  <c r="R25" i="1"/>
  <c r="Y25" i="1"/>
  <c r="Y26" i="1"/>
  <c r="Y28" i="1"/>
  <c r="X24" i="1"/>
  <c r="X25" i="1"/>
  <c r="X26" i="1"/>
  <c r="X28" i="1"/>
  <c r="W24" i="1"/>
  <c r="W25" i="1"/>
  <c r="W26" i="1"/>
  <c r="W28" i="1"/>
  <c r="V24" i="1"/>
  <c r="V25" i="1"/>
  <c r="V26" i="1"/>
  <c r="V28" i="1"/>
  <c r="U24" i="1"/>
  <c r="U25" i="1"/>
  <c r="U26" i="1"/>
  <c r="U28" i="1"/>
  <c r="T24" i="1"/>
  <c r="T25" i="1"/>
  <c r="T26" i="1"/>
  <c r="T28" i="1"/>
  <c r="S24" i="1"/>
  <c r="S25" i="1"/>
  <c r="S26" i="1"/>
  <c r="S28" i="1"/>
  <c r="O24" i="1"/>
  <c r="H25" i="1"/>
  <c r="O25" i="1"/>
  <c r="O26" i="1"/>
  <c r="O28" i="1"/>
  <c r="N24" i="1"/>
  <c r="N25" i="1"/>
  <c r="N26" i="1"/>
  <c r="N28" i="1"/>
  <c r="M24" i="1"/>
  <c r="M25" i="1"/>
  <c r="M26" i="1"/>
  <c r="M28" i="1"/>
  <c r="L24" i="1"/>
  <c r="L25" i="1"/>
  <c r="L26" i="1"/>
  <c r="L28" i="1"/>
  <c r="K24" i="1"/>
  <c r="K25" i="1"/>
  <c r="K26" i="1"/>
  <c r="K28" i="1"/>
  <c r="J24" i="1"/>
  <c r="J25" i="1"/>
  <c r="J26" i="1"/>
  <c r="J28" i="1"/>
  <c r="I24" i="1"/>
  <c r="I25" i="1"/>
  <c r="I26" i="1"/>
  <c r="I28" i="1"/>
  <c r="Y27" i="1"/>
  <c r="X27" i="1"/>
  <c r="W27" i="1"/>
  <c r="V27" i="1"/>
  <c r="U27" i="1"/>
  <c r="T27" i="1"/>
  <c r="S27" i="1"/>
  <c r="O27" i="1"/>
  <c r="N27" i="1"/>
  <c r="M27" i="1"/>
  <c r="L27" i="1"/>
  <c r="K27" i="1"/>
  <c r="J27" i="1"/>
  <c r="I27" i="1"/>
  <c r="Y16" i="1"/>
  <c r="R17" i="1"/>
  <c r="Y17" i="1"/>
  <c r="Y18" i="1"/>
  <c r="Y20" i="1"/>
  <c r="X16" i="1"/>
  <c r="X17" i="1"/>
  <c r="X18" i="1"/>
  <c r="X20" i="1"/>
  <c r="W16" i="1"/>
  <c r="W17" i="1"/>
  <c r="W18" i="1"/>
  <c r="W20" i="1"/>
  <c r="V16" i="1"/>
  <c r="V17" i="1"/>
  <c r="V18" i="1"/>
  <c r="V20" i="1"/>
  <c r="U16" i="1"/>
  <c r="U17" i="1"/>
  <c r="U18" i="1"/>
  <c r="U20" i="1"/>
  <c r="T16" i="1"/>
  <c r="T17" i="1"/>
  <c r="T18" i="1"/>
  <c r="T20" i="1"/>
  <c r="S16" i="1"/>
  <c r="S17" i="1"/>
  <c r="S18" i="1"/>
  <c r="S20" i="1"/>
  <c r="O16" i="1"/>
  <c r="H17" i="1"/>
  <c r="O17" i="1"/>
  <c r="O18" i="1"/>
  <c r="O20" i="1"/>
  <c r="N16" i="1"/>
  <c r="N17" i="1"/>
  <c r="N18" i="1"/>
  <c r="N20" i="1"/>
  <c r="M16" i="1"/>
  <c r="M17" i="1"/>
  <c r="M18" i="1"/>
  <c r="M20" i="1"/>
  <c r="L16" i="1"/>
  <c r="L17" i="1"/>
  <c r="L18" i="1"/>
  <c r="L20" i="1"/>
  <c r="K16" i="1"/>
  <c r="K17" i="1"/>
  <c r="K18" i="1"/>
  <c r="K20" i="1"/>
  <c r="J16" i="1"/>
  <c r="J17" i="1"/>
  <c r="J18" i="1"/>
  <c r="J20" i="1"/>
  <c r="I16" i="1"/>
  <c r="I17" i="1"/>
  <c r="I18" i="1"/>
  <c r="I20" i="1"/>
  <c r="Y19" i="1"/>
  <c r="X19" i="1"/>
  <c r="W19" i="1"/>
  <c r="V19" i="1"/>
  <c r="U19" i="1"/>
  <c r="T19" i="1"/>
  <c r="S19" i="1"/>
  <c r="O19" i="1"/>
  <c r="N19" i="1"/>
  <c r="M19" i="1"/>
  <c r="L19" i="1"/>
  <c r="K19" i="1"/>
  <c r="J19" i="1"/>
  <c r="I19" i="1"/>
  <c r="D8" i="1"/>
  <c r="D9" i="1"/>
  <c r="D10" i="1"/>
  <c r="D11" i="1"/>
  <c r="D12" i="1"/>
  <c r="D13" i="1"/>
  <c r="D14" i="1"/>
  <c r="D15" i="1"/>
  <c r="D16" i="1"/>
  <c r="Y8" i="1"/>
  <c r="R9" i="1"/>
  <c r="Y9" i="1"/>
  <c r="Y10" i="1"/>
  <c r="Y12" i="1"/>
  <c r="X8" i="1"/>
  <c r="X9" i="1"/>
  <c r="X10" i="1"/>
  <c r="X12" i="1"/>
  <c r="W8" i="1"/>
  <c r="W9" i="1"/>
  <c r="W10" i="1"/>
  <c r="W12" i="1"/>
  <c r="V8" i="1"/>
  <c r="V9" i="1"/>
  <c r="V10" i="1"/>
  <c r="V12" i="1"/>
  <c r="U8" i="1"/>
  <c r="U9" i="1"/>
  <c r="U10" i="1"/>
  <c r="U12" i="1"/>
  <c r="T8" i="1"/>
  <c r="T9" i="1"/>
  <c r="T10" i="1"/>
  <c r="T12" i="1"/>
  <c r="S8" i="1"/>
  <c r="S9" i="1"/>
  <c r="S10" i="1"/>
  <c r="S12" i="1"/>
  <c r="O8" i="1"/>
  <c r="H9" i="1"/>
  <c r="O9" i="1"/>
  <c r="O10" i="1"/>
  <c r="O12" i="1"/>
  <c r="N8" i="1"/>
  <c r="N9" i="1"/>
  <c r="N10" i="1"/>
  <c r="N12" i="1"/>
  <c r="M8" i="1"/>
  <c r="M9" i="1"/>
  <c r="M10" i="1"/>
  <c r="M12" i="1"/>
  <c r="L8" i="1"/>
  <c r="L9" i="1"/>
  <c r="L10" i="1"/>
  <c r="L12" i="1"/>
  <c r="K8" i="1"/>
  <c r="K9" i="1"/>
  <c r="K10" i="1"/>
  <c r="K12" i="1"/>
  <c r="J8" i="1"/>
  <c r="J9" i="1"/>
  <c r="J10" i="1"/>
  <c r="J12" i="1"/>
  <c r="I8" i="1"/>
  <c r="I9" i="1"/>
  <c r="I10" i="1"/>
  <c r="I12" i="1"/>
  <c r="Y11" i="1"/>
  <c r="X11" i="1"/>
  <c r="W11" i="1"/>
  <c r="V11" i="1"/>
  <c r="U11" i="1"/>
  <c r="T11" i="1"/>
  <c r="S11" i="1"/>
  <c r="O11" i="1"/>
  <c r="N11" i="1"/>
  <c r="M11" i="1"/>
  <c r="L11" i="1"/>
  <c r="K11" i="1"/>
  <c r="J11" i="1"/>
  <c r="I11" i="1"/>
  <c r="I4" i="1"/>
  <c r="I3" i="1"/>
</calcChain>
</file>

<file path=xl/sharedStrings.xml><?xml version="1.0" encoding="utf-8"?>
<sst xmlns="http://schemas.openxmlformats.org/spreadsheetml/2006/main" count="189" uniqueCount="76">
  <si>
    <t>AUSB</t>
  </si>
  <si>
    <t>Arts Undergraduate Society</t>
  </si>
  <si>
    <t>Arts Computer Lab Fee Proposal</t>
  </si>
  <si>
    <t>current ARCL opt out rate:</t>
  </si>
  <si>
    <t xml:space="preserve">Total per-year expenses estimated to be: </t>
  </si>
  <si>
    <t>Current percentage paying part time rate:</t>
  </si>
  <si>
    <t>Total per-year expenses estimate, if replacing only 50% of computers in Arts Lounge and Ferrier Labs):</t>
  </si>
  <si>
    <t>Revenue</t>
  </si>
  <si>
    <t>(assuming 7,400 students in each semester)</t>
  </si>
  <si>
    <t>(assuming 11.5% of pay  part-time rate ie. are part time or BASc)</t>
  </si>
  <si>
    <t>Description</t>
  </si>
  <si>
    <t>Projected</t>
  </si>
  <si>
    <t>Actual</t>
  </si>
  <si>
    <t>Variance</t>
  </si>
  <si>
    <t>Actual Notes</t>
  </si>
  <si>
    <t>No-opt outs</t>
  </si>
  <si>
    <t>7% opt-outs</t>
  </si>
  <si>
    <t>5% opt-outs</t>
  </si>
  <si>
    <t>4% opt-outs</t>
  </si>
  <si>
    <t>3% opt-outs</t>
  </si>
  <si>
    <t>2% opt-outs</t>
  </si>
  <si>
    <t>1% opt-outs</t>
  </si>
  <si>
    <t>25% FEE REDUCTION</t>
  </si>
  <si>
    <t>Fee set at / Semester</t>
  </si>
  <si>
    <t>Fee Value:</t>
  </si>
  <si>
    <t>Part-Time Value:</t>
  </si>
  <si>
    <t>Annual Revenue from Fee:</t>
  </si>
  <si>
    <t>Surplus (Revenue - Estimated Expenses):</t>
  </si>
  <si>
    <t>(Rev - Est. Expenses w/ half comp replaced):</t>
  </si>
  <si>
    <t>50% FEE REDUCTION</t>
  </si>
  <si>
    <t>30% FEE REDUCTION</t>
  </si>
  <si>
    <t>Total Revenue</t>
  </si>
  <si>
    <t>Expenses</t>
  </si>
  <si>
    <t>Service Desk PCs (2)</t>
  </si>
  <si>
    <t>2 PCs at $1430 each</t>
  </si>
  <si>
    <t>Laptop Lending Program Laptops (40)</t>
  </si>
  <si>
    <t>20 Macs at $1509 each and 20 Lenovos at $1449 each</t>
  </si>
  <si>
    <t>James Ferrier 303 Stations (51)</t>
  </si>
  <si>
    <t>51 Computers at $1209 each and 51 Monitors at $239 each</t>
  </si>
  <si>
    <t>James Ferrier 315 Stations (40)</t>
  </si>
  <si>
    <t>40 Computers at $2000 each and 17 Monitors at $219 each</t>
  </si>
  <si>
    <t>15% FEE REDUCTION</t>
  </si>
  <si>
    <t>35% FEE REDUCTION</t>
  </si>
  <si>
    <t>James Ferrier 315 B Workgroup (7)</t>
  </si>
  <si>
    <t>7 Computers at $1400 and 4 Monitors at $219</t>
  </si>
  <si>
    <t>AUS Leacock B-12 Computer Lab (20)</t>
  </si>
  <si>
    <t>20 Computers at $1300 and 15 Monitors at $219</t>
  </si>
  <si>
    <t>InfoStations (34)</t>
  </si>
  <si>
    <t>3 Macs at $1480, 31 Computers at $1100 and 31 Monitors at $219</t>
  </si>
  <si>
    <t>20% FEE REDUCTION</t>
  </si>
  <si>
    <t>40% FEE REDUCTION</t>
  </si>
  <si>
    <t>Total Expenses</t>
  </si>
  <si>
    <t>Working Surplus / Deficit</t>
  </si>
  <si>
    <t>Laptops (have life of 3 years)</t>
  </si>
  <si>
    <t>Computers and Monitors (have life of 4 years)</t>
  </si>
  <si>
    <t>Info from ACLF Summary Expenses Document</t>
  </si>
  <si>
    <t>2014-2015</t>
  </si>
  <si>
    <t>2013-2014</t>
  </si>
  <si>
    <t>2012-2013</t>
  </si>
  <si>
    <t>Per Year Cost to Cover (theoretically)</t>
  </si>
  <si>
    <t>Computers need to be purchased every 4 years I divided total computers cost by 4 and for laptops the denominator is 3 to get per year costs</t>
  </si>
  <si>
    <t xml:space="preserve">Computer Software </t>
  </si>
  <si>
    <t>Taken from 2013 numbers</t>
  </si>
  <si>
    <t>expenses</t>
  </si>
  <si>
    <t>Furniture and Appliances</t>
  </si>
  <si>
    <t>salaries</t>
  </si>
  <si>
    <t>Approx Other Expenses</t>
  </si>
  <si>
    <t>total</t>
  </si>
  <si>
    <t>Total per year Expenses</t>
  </si>
  <si>
    <t>Overestimates taken to be conservative</t>
  </si>
  <si>
    <t>fee revenue</t>
  </si>
  <si>
    <t>Expenses adjusted for inflation (3 yr compound)</t>
  </si>
  <si>
    <t xml:space="preserve">2016 estimates using 2% inflation rate </t>
  </si>
  <si>
    <t>annual surplus:</t>
  </si>
  <si>
    <t>Assuming 50% Replacement of Computers in Arts Lounge and Ferrier Labs</t>
  </si>
  <si>
    <t>Assuming 100% Replacement of Computers in Arts Lounge and Ferrier Labs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</si>
</sst>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20"/>
      <color indexed="8"/>
      <name val="Calibri"/>
      <family val="2"/>
    </font>
    <font>
      <b/>
      <sz val="2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17" fontId="0" fillId="2" borderId="0" xfId="0" applyNumberFormat="1" applyFill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/>
    <xf numFmtId="0" fontId="0" fillId="0" borderId="1" xfId="0" applyBorder="1"/>
    <xf numFmtId="44" fontId="7" fillId="0" borderId="1" xfId="2" applyFont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1" xfId="0" applyFill="1" applyBorder="1"/>
    <xf numFmtId="44" fontId="7" fillId="7" borderId="1" xfId="2" applyFont="1" applyFill="1" applyBorder="1"/>
    <xf numFmtId="0" fontId="8" fillId="0" borderId="1" xfId="0" applyFont="1" applyBorder="1"/>
    <xf numFmtId="0" fontId="4" fillId="8" borderId="1" xfId="0" applyFont="1" applyFill="1" applyBorder="1"/>
    <xf numFmtId="0" fontId="0" fillId="0" borderId="1" xfId="0" applyFill="1" applyBorder="1"/>
    <xf numFmtId="0" fontId="5" fillId="8" borderId="1" xfId="0" applyFont="1" applyFill="1" applyBorder="1"/>
    <xf numFmtId="0" fontId="4" fillId="9" borderId="1" xfId="0" applyFont="1" applyFill="1" applyBorder="1"/>
    <xf numFmtId="44" fontId="7" fillId="9" borderId="1" xfId="2" applyFont="1" applyFill="1" applyBorder="1"/>
    <xf numFmtId="0" fontId="0" fillId="9" borderId="1" xfId="0" applyFill="1" applyBorder="1"/>
    <xf numFmtId="44" fontId="0" fillId="0" borderId="0" xfId="0" applyNumberFormat="1"/>
    <xf numFmtId="164" fontId="0" fillId="0" borderId="0" xfId="0" applyNumberFormat="1"/>
    <xf numFmtId="0" fontId="9" fillId="0" borderId="0" xfId="0" applyFont="1"/>
    <xf numFmtId="44" fontId="0" fillId="0" borderId="0" xfId="2" applyFont="1"/>
    <xf numFmtId="43" fontId="0" fillId="0" borderId="0" xfId="1" applyFont="1"/>
    <xf numFmtId="0" fontId="0" fillId="10" borderId="0" xfId="0" applyFill="1"/>
    <xf numFmtId="43" fontId="0" fillId="10" borderId="0" xfId="1" applyFont="1" applyFill="1"/>
    <xf numFmtId="4" fontId="0" fillId="0" borderId="0" xfId="0" applyNumberFormat="1"/>
    <xf numFmtId="0" fontId="10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topLeftCell="A31" workbookViewId="0">
      <selection activeCell="D50" sqref="D50"/>
    </sheetView>
  </sheetViews>
  <sheetFormatPr baseColWidth="10" defaultColWidth="11.5" defaultRowHeight="16" x14ac:dyDescent="0.2"/>
  <cols>
    <col min="1" max="1" width="47" customWidth="1"/>
    <col min="2" max="4" width="15.5" customWidth="1"/>
    <col min="5" max="5" width="65.5" customWidth="1"/>
    <col min="7" max="7" width="19.6640625" customWidth="1"/>
    <col min="8" max="8" width="14" customWidth="1"/>
  </cols>
  <sheetData>
    <row r="1" spans="1:25" ht="26" x14ac:dyDescent="0.3">
      <c r="A1" s="1" t="s">
        <v>0</v>
      </c>
      <c r="B1" s="2"/>
      <c r="C1" s="2"/>
      <c r="D1" s="2"/>
      <c r="E1" s="2"/>
    </row>
    <row r="2" spans="1:25" ht="26" x14ac:dyDescent="0.3">
      <c r="A2" s="3" t="s">
        <v>1</v>
      </c>
      <c r="B2" s="2"/>
      <c r="C2" s="2"/>
      <c r="D2" s="2"/>
      <c r="E2" s="2"/>
    </row>
    <row r="3" spans="1:25" x14ac:dyDescent="0.2">
      <c r="A3" s="2" t="s">
        <v>2</v>
      </c>
      <c r="B3" s="2"/>
      <c r="C3" s="2"/>
      <c r="D3" s="2"/>
      <c r="E3" s="2"/>
      <c r="G3" t="s">
        <v>3</v>
      </c>
      <c r="I3">
        <f>470/7400</f>
        <v>6.3513513513513517E-2</v>
      </c>
      <c r="K3" t="s">
        <v>4</v>
      </c>
      <c r="N3">
        <v>140238.90250200001</v>
      </c>
    </row>
    <row r="4" spans="1:25" x14ac:dyDescent="0.2">
      <c r="A4" s="4">
        <v>42401</v>
      </c>
      <c r="B4" s="2"/>
      <c r="C4" s="2"/>
      <c r="D4" s="2"/>
      <c r="E4" s="2"/>
      <c r="G4" t="s">
        <v>5</v>
      </c>
      <c r="I4">
        <f>820/7187</f>
        <v>0.11409489355781272</v>
      </c>
      <c r="K4" t="s">
        <v>6</v>
      </c>
      <c r="R4">
        <v>114036.08517000001</v>
      </c>
    </row>
    <row r="6" spans="1:25" ht="21" x14ac:dyDescent="0.25">
      <c r="A6" s="5" t="s">
        <v>7</v>
      </c>
      <c r="I6" t="s">
        <v>8</v>
      </c>
      <c r="L6" t="s">
        <v>9</v>
      </c>
      <c r="S6" t="s">
        <v>8</v>
      </c>
      <c r="V6" t="s">
        <v>9</v>
      </c>
    </row>
    <row r="7" spans="1:25" x14ac:dyDescent="0.2">
      <c r="A7" s="6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I7" t="s">
        <v>15</v>
      </c>
      <c r="J7" t="s">
        <v>16</v>
      </c>
      <c r="K7" t="s">
        <v>17</v>
      </c>
      <c r="L7" t="s">
        <v>18</v>
      </c>
      <c r="M7" t="s">
        <v>19</v>
      </c>
      <c r="N7" t="s">
        <v>20</v>
      </c>
      <c r="O7" t="s">
        <v>21</v>
      </c>
      <c r="Q7" s="7" t="s">
        <v>22</v>
      </c>
      <c r="S7" t="s">
        <v>15</v>
      </c>
      <c r="T7" t="s">
        <v>16</v>
      </c>
      <c r="U7" t="s">
        <v>17</v>
      </c>
      <c r="V7" t="s">
        <v>18</v>
      </c>
      <c r="W7" t="s">
        <v>19</v>
      </c>
      <c r="X7" t="s">
        <v>20</v>
      </c>
      <c r="Y7" t="s">
        <v>21</v>
      </c>
    </row>
    <row r="8" spans="1:25" x14ac:dyDescent="0.2">
      <c r="A8" s="8" t="s">
        <v>23</v>
      </c>
      <c r="B8" s="9"/>
      <c r="C8" s="9"/>
      <c r="D8" s="9">
        <f>C8-B8</f>
        <v>0</v>
      </c>
      <c r="E8" s="8"/>
      <c r="G8" s="10" t="s">
        <v>24</v>
      </c>
      <c r="H8" s="10">
        <v>9.8000000000000007</v>
      </c>
      <c r="I8">
        <f>H8*7400*0.885</f>
        <v>64180.2</v>
      </c>
      <c r="J8">
        <f>H8*7400*0.885</f>
        <v>64180.2</v>
      </c>
      <c r="K8">
        <f>H8*7400*0.885</f>
        <v>64180.2</v>
      </c>
      <c r="L8">
        <f>H8*7400*0.885</f>
        <v>64180.2</v>
      </c>
      <c r="M8">
        <f>H8*7400*0.885</f>
        <v>64180.2</v>
      </c>
      <c r="N8">
        <f>H8*7400*0.885</f>
        <v>64180.2</v>
      </c>
      <c r="O8">
        <f>H8*7400*0.885</f>
        <v>64180.2</v>
      </c>
      <c r="Q8" s="10" t="s">
        <v>24</v>
      </c>
      <c r="R8" s="10">
        <v>7.35</v>
      </c>
      <c r="S8">
        <f>R8*7400*0.885</f>
        <v>48135.15</v>
      </c>
      <c r="T8">
        <f>R8*7400*0.885</f>
        <v>48135.15</v>
      </c>
      <c r="U8">
        <f>R8*7400*0.885</f>
        <v>48135.15</v>
      </c>
      <c r="V8">
        <f>R8*7400*0.885</f>
        <v>48135.15</v>
      </c>
      <c r="W8">
        <f>R8*7400*0.885</f>
        <v>48135.15</v>
      </c>
      <c r="X8">
        <f>R8*7400*0.885</f>
        <v>48135.15</v>
      </c>
      <c r="Y8">
        <f>R8*7400*0.885</f>
        <v>48135.15</v>
      </c>
    </row>
    <row r="9" spans="1:25" x14ac:dyDescent="0.2">
      <c r="A9" s="8"/>
      <c r="B9" s="9"/>
      <c r="C9" s="9"/>
      <c r="D9" s="9">
        <f t="shared" ref="D9:D15" si="0">C9-B9</f>
        <v>0</v>
      </c>
      <c r="E9" s="8"/>
      <c r="G9" t="s">
        <v>25</v>
      </c>
      <c r="H9">
        <f>H8/2</f>
        <v>4.9000000000000004</v>
      </c>
      <c r="I9">
        <f>H9*7400*0.115</f>
        <v>4169.9000000000005</v>
      </c>
      <c r="J9">
        <f>H9*7400*0.115</f>
        <v>4169.9000000000005</v>
      </c>
      <c r="K9">
        <f>H9*7400*0.115</f>
        <v>4169.9000000000005</v>
      </c>
      <c r="L9">
        <f>H9*7400*0.115</f>
        <v>4169.9000000000005</v>
      </c>
      <c r="M9">
        <f>H9*7400*0.115</f>
        <v>4169.9000000000005</v>
      </c>
      <c r="N9">
        <f>H9*7400*0.115</f>
        <v>4169.9000000000005</v>
      </c>
      <c r="O9">
        <f>H9*7400*0.115</f>
        <v>4169.9000000000005</v>
      </c>
      <c r="Q9" t="s">
        <v>25</v>
      </c>
      <c r="R9">
        <f>R8/2</f>
        <v>3.6749999999999998</v>
      </c>
      <c r="S9">
        <f>R9*7400*0.115</f>
        <v>3127.4250000000002</v>
      </c>
      <c r="T9">
        <f>R9*7400*0.115</f>
        <v>3127.4250000000002</v>
      </c>
      <c r="U9">
        <f>R9*7400*0.115</f>
        <v>3127.4250000000002</v>
      </c>
      <c r="V9">
        <f>R9*7400*0.115</f>
        <v>3127.4250000000002</v>
      </c>
      <c r="W9">
        <f>R9*7400*0.115</f>
        <v>3127.4250000000002</v>
      </c>
      <c r="X9">
        <f>R9*7400*0.115</f>
        <v>3127.4250000000002</v>
      </c>
      <c r="Y9">
        <f>R9*7400*0.115</f>
        <v>3127.4250000000002</v>
      </c>
    </row>
    <row r="10" spans="1:25" x14ac:dyDescent="0.2">
      <c r="A10" s="8"/>
      <c r="B10" s="9"/>
      <c r="C10" s="9"/>
      <c r="D10" s="9">
        <f t="shared" si="0"/>
        <v>0</v>
      </c>
      <c r="E10" s="8"/>
      <c r="G10" t="s">
        <v>26</v>
      </c>
      <c r="I10" s="11">
        <f>SUM(I8+I9)*2</f>
        <v>136700.19999999998</v>
      </c>
      <c r="J10" s="11">
        <f>SUM(J8+J9)*2*0.93</f>
        <v>127131.18599999999</v>
      </c>
      <c r="K10" s="11">
        <f>SUM(K8+K9)*2*0.95</f>
        <v>129865.18999999997</v>
      </c>
      <c r="L10" s="11">
        <f>SUM(L8+L9)*2*0.96</f>
        <v>131232.19199999998</v>
      </c>
      <c r="M10" s="11">
        <f>SUM(M8+M9)*2*0.93</f>
        <v>127131.18599999999</v>
      </c>
      <c r="N10" s="11">
        <f>SUM(N8+N9)*2*0.98</f>
        <v>133966.19599999997</v>
      </c>
      <c r="O10" s="11">
        <f>SUM(O8+O9)*2*0.99</f>
        <v>135333.19799999997</v>
      </c>
      <c r="Q10" t="s">
        <v>26</v>
      </c>
      <c r="S10" s="11">
        <f>SUM(S8+S9)*2</f>
        <v>102525.15000000001</v>
      </c>
      <c r="T10" s="11">
        <f>SUM(T8+T9)*2*0.93</f>
        <v>95348.389500000019</v>
      </c>
      <c r="U10" s="11">
        <f>SUM(U8+U9)*2*0.95</f>
        <v>97398.892500000002</v>
      </c>
      <c r="V10" s="11">
        <f>SUM(V8+V9)*2*0.96</f>
        <v>98424.144</v>
      </c>
      <c r="W10" s="11">
        <f>SUM(W8+W9)*2*0.93</f>
        <v>95348.389500000019</v>
      </c>
      <c r="X10" s="11">
        <f>SUM(X8+X9)*2*0.98</f>
        <v>100474.64700000001</v>
      </c>
      <c r="Y10" s="11">
        <f>SUM(Y8+Y9)*2*0.99</f>
        <v>101499.89850000001</v>
      </c>
    </row>
    <row r="11" spans="1:25" x14ac:dyDescent="0.2">
      <c r="A11" s="8"/>
      <c r="B11" s="9"/>
      <c r="C11" s="9"/>
      <c r="D11" s="9">
        <f t="shared" si="0"/>
        <v>0</v>
      </c>
      <c r="E11" s="8"/>
      <c r="G11" t="s">
        <v>27</v>
      </c>
      <c r="I11" s="12">
        <f>I10-140238.902502</f>
        <v>-3538.7025020000292</v>
      </c>
      <c r="J11" s="12">
        <f t="shared" ref="J11:O11" si="1">J10-140238.902502</f>
        <v>-13107.716502000025</v>
      </c>
      <c r="K11" s="12">
        <f t="shared" si="1"/>
        <v>-10373.712502000039</v>
      </c>
      <c r="L11" s="12">
        <f t="shared" si="1"/>
        <v>-9006.7105020000308</v>
      </c>
      <c r="M11" s="12">
        <f t="shared" si="1"/>
        <v>-13107.716502000025</v>
      </c>
      <c r="N11" s="12">
        <f t="shared" si="1"/>
        <v>-6272.7065020000446</v>
      </c>
      <c r="O11" s="12">
        <f t="shared" si="1"/>
        <v>-4905.7045020000369</v>
      </c>
      <c r="Q11" t="s">
        <v>27</v>
      </c>
      <c r="S11" s="12">
        <f>S10-140238.902502</f>
        <v>-37713.752502000003</v>
      </c>
      <c r="T11" s="12">
        <f t="shared" ref="T11:Y11" si="2">T10-140238.902502</f>
        <v>-44890.513001999992</v>
      </c>
      <c r="U11" s="12">
        <f t="shared" si="2"/>
        <v>-42840.01000200001</v>
      </c>
      <c r="V11" s="12">
        <f t="shared" si="2"/>
        <v>-41814.758502000012</v>
      </c>
      <c r="W11" s="12">
        <f t="shared" si="2"/>
        <v>-44890.513001999992</v>
      </c>
      <c r="X11" s="12">
        <f t="shared" si="2"/>
        <v>-39764.255502</v>
      </c>
      <c r="Y11" s="12">
        <f t="shared" si="2"/>
        <v>-38739.004002000001</v>
      </c>
    </row>
    <row r="12" spans="1:25" x14ac:dyDescent="0.2">
      <c r="A12" s="8"/>
      <c r="B12" s="9"/>
      <c r="C12" s="9"/>
      <c r="D12" s="9">
        <f t="shared" si="0"/>
        <v>0</v>
      </c>
      <c r="E12" s="8"/>
      <c r="G12" t="s">
        <v>28</v>
      </c>
      <c r="I12" s="13">
        <f>I10-114036.08517</f>
        <v>22664.114829999977</v>
      </c>
      <c r="J12" s="13">
        <f t="shared" ref="J12:O12" si="3">J10-114036.08517</f>
        <v>13095.100829999981</v>
      </c>
      <c r="K12" s="13">
        <f t="shared" si="3"/>
        <v>15829.104829999967</v>
      </c>
      <c r="L12" s="13">
        <f t="shared" si="3"/>
        <v>17196.106829999975</v>
      </c>
      <c r="M12" s="13">
        <f t="shared" si="3"/>
        <v>13095.100829999981</v>
      </c>
      <c r="N12" s="13">
        <f t="shared" si="3"/>
        <v>19930.110829999961</v>
      </c>
      <c r="O12" s="13">
        <f t="shared" si="3"/>
        <v>21297.112829999969</v>
      </c>
      <c r="Q12" t="s">
        <v>28</v>
      </c>
      <c r="S12" s="13">
        <f>S10-114036.08517</f>
        <v>-11510.935169999997</v>
      </c>
      <c r="T12" s="13">
        <f t="shared" ref="T12:Y12" si="4">T10-114036.08517</f>
        <v>-18687.695669999986</v>
      </c>
      <c r="U12" s="13">
        <f t="shared" si="4"/>
        <v>-16637.192670000004</v>
      </c>
      <c r="V12" s="13">
        <f t="shared" si="4"/>
        <v>-15611.941170000006</v>
      </c>
      <c r="W12" s="13">
        <f t="shared" si="4"/>
        <v>-18687.695669999986</v>
      </c>
      <c r="X12" s="13">
        <f t="shared" si="4"/>
        <v>-13561.438169999994</v>
      </c>
      <c r="Y12" s="13">
        <f t="shared" si="4"/>
        <v>-12536.186669999996</v>
      </c>
    </row>
    <row r="13" spans="1:25" x14ac:dyDescent="0.2">
      <c r="A13" s="8"/>
      <c r="B13" s="9"/>
      <c r="C13" s="9"/>
      <c r="D13" s="9">
        <f t="shared" si="0"/>
        <v>0</v>
      </c>
      <c r="E13" s="8"/>
    </row>
    <row r="14" spans="1:25" x14ac:dyDescent="0.2">
      <c r="A14" s="8"/>
      <c r="B14" s="9"/>
      <c r="C14" s="9"/>
      <c r="D14" s="9">
        <f t="shared" si="0"/>
        <v>0</v>
      </c>
      <c r="E14" s="8"/>
      <c r="I14" t="s">
        <v>8</v>
      </c>
      <c r="L14" t="s">
        <v>9</v>
      </c>
      <c r="S14" t="s">
        <v>8</v>
      </c>
      <c r="V14" t="s">
        <v>9</v>
      </c>
    </row>
    <row r="15" spans="1:25" x14ac:dyDescent="0.2">
      <c r="A15" s="8"/>
      <c r="B15" s="9"/>
      <c r="C15" s="9"/>
      <c r="D15" s="9">
        <f t="shared" si="0"/>
        <v>0</v>
      </c>
      <c r="E15" s="8"/>
      <c r="G15" s="7" t="s">
        <v>29</v>
      </c>
      <c r="I15" t="s">
        <v>15</v>
      </c>
      <c r="J15" t="s">
        <v>16</v>
      </c>
      <c r="K15" t="s">
        <v>17</v>
      </c>
      <c r="L15" t="s">
        <v>18</v>
      </c>
      <c r="M15" t="s">
        <v>19</v>
      </c>
      <c r="N15" t="s">
        <v>20</v>
      </c>
      <c r="O15" t="s">
        <v>21</v>
      </c>
      <c r="Q15" s="7" t="s">
        <v>30</v>
      </c>
      <c r="S15" t="s">
        <v>15</v>
      </c>
      <c r="T15" t="s">
        <v>16</v>
      </c>
      <c r="U15" t="s">
        <v>17</v>
      </c>
      <c r="V15" t="s">
        <v>18</v>
      </c>
      <c r="W15" t="s">
        <v>19</v>
      </c>
      <c r="X15" t="s">
        <v>20</v>
      </c>
      <c r="Y15" t="s">
        <v>21</v>
      </c>
    </row>
    <row r="16" spans="1:25" x14ac:dyDescent="0.2">
      <c r="A16" s="14" t="s">
        <v>31</v>
      </c>
      <c r="B16" s="15">
        <f>SUM(B8:B15)</f>
        <v>0</v>
      </c>
      <c r="C16" s="15">
        <f>SUM(C8:C15)</f>
        <v>0</v>
      </c>
      <c r="D16" s="15">
        <f>SUM(D8:D15)</f>
        <v>0</v>
      </c>
      <c r="E16" s="14"/>
      <c r="G16" s="10" t="s">
        <v>24</v>
      </c>
      <c r="H16" s="10">
        <v>4.9000000000000004</v>
      </c>
      <c r="I16">
        <f>H16*7400*0.885</f>
        <v>32090.1</v>
      </c>
      <c r="J16">
        <f>H16*7400*0.885</f>
        <v>32090.1</v>
      </c>
      <c r="K16">
        <f>H16*7400*0.885</f>
        <v>32090.1</v>
      </c>
      <c r="L16">
        <f>H16*7400*0.885</f>
        <v>32090.1</v>
      </c>
      <c r="M16">
        <f>H16*7400*0.885</f>
        <v>32090.1</v>
      </c>
      <c r="N16">
        <f>H16*7400*0.885</f>
        <v>32090.1</v>
      </c>
      <c r="O16">
        <f>H16*7400*0.885</f>
        <v>32090.1</v>
      </c>
      <c r="Q16" s="10" t="s">
        <v>24</v>
      </c>
      <c r="R16" s="10">
        <v>6.86</v>
      </c>
      <c r="S16">
        <f>R16*7400*0.885</f>
        <v>44926.14</v>
      </c>
      <c r="T16">
        <f>R16*7400*0.885</f>
        <v>44926.14</v>
      </c>
      <c r="U16">
        <f>R16*7400*0.885</f>
        <v>44926.14</v>
      </c>
      <c r="V16">
        <f>R16*7400*0.885</f>
        <v>44926.14</v>
      </c>
      <c r="W16">
        <f>R16*7400*0.885</f>
        <v>44926.14</v>
      </c>
      <c r="X16">
        <f>R16*7400*0.885</f>
        <v>44926.14</v>
      </c>
      <c r="Y16">
        <f>R16*7400*0.885</f>
        <v>44926.14</v>
      </c>
    </row>
    <row r="17" spans="1:25" x14ac:dyDescent="0.2">
      <c r="A17" s="16"/>
      <c r="B17" s="16"/>
      <c r="C17" s="16"/>
      <c r="D17" s="16"/>
      <c r="E17" s="16"/>
      <c r="G17" t="s">
        <v>25</v>
      </c>
      <c r="H17">
        <f>H16/2</f>
        <v>2.4500000000000002</v>
      </c>
      <c r="I17">
        <f>H17*7400*0.115</f>
        <v>2084.9500000000003</v>
      </c>
      <c r="J17">
        <f>H17*7400*0.115</f>
        <v>2084.9500000000003</v>
      </c>
      <c r="K17">
        <f>H17*7400*0.115</f>
        <v>2084.9500000000003</v>
      </c>
      <c r="L17">
        <f>H17*7400*0.115</f>
        <v>2084.9500000000003</v>
      </c>
      <c r="M17">
        <f>H17*7400*0.115</f>
        <v>2084.9500000000003</v>
      </c>
      <c r="N17">
        <f>H17*7400*0.115</f>
        <v>2084.9500000000003</v>
      </c>
      <c r="O17">
        <f>H17*7400*0.115</f>
        <v>2084.9500000000003</v>
      </c>
      <c r="Q17" t="s">
        <v>25</v>
      </c>
      <c r="R17">
        <f>R16/2</f>
        <v>3.43</v>
      </c>
      <c r="S17">
        <f>R17*7400*0.115</f>
        <v>2918.9300000000003</v>
      </c>
      <c r="T17">
        <f>R17*7400*0.115</f>
        <v>2918.9300000000003</v>
      </c>
      <c r="U17">
        <f>R17*7400*0.115</f>
        <v>2918.9300000000003</v>
      </c>
      <c r="V17">
        <f>R17*7400*0.115</f>
        <v>2918.9300000000003</v>
      </c>
      <c r="W17">
        <f>R17*7400*0.115</f>
        <v>2918.9300000000003</v>
      </c>
      <c r="X17">
        <f>R17*7400*0.115</f>
        <v>2918.9300000000003</v>
      </c>
      <c r="Y17">
        <f>R17*7400*0.115</f>
        <v>2918.9300000000003</v>
      </c>
    </row>
    <row r="18" spans="1:25" ht="21" x14ac:dyDescent="0.25">
      <c r="A18" s="17" t="s">
        <v>32</v>
      </c>
      <c r="B18" s="18"/>
      <c r="C18" s="18"/>
      <c r="D18" s="18"/>
      <c r="E18" s="18"/>
      <c r="G18" t="s">
        <v>26</v>
      </c>
      <c r="I18" s="11">
        <f>SUM(I16+I17)*2</f>
        <v>68350.099999999991</v>
      </c>
      <c r="J18" s="11">
        <f>SUM(J16+J17)*2*0.93</f>
        <v>63565.592999999993</v>
      </c>
      <c r="K18" s="11">
        <f>SUM(K16+K17)*2*0.95</f>
        <v>64932.594999999987</v>
      </c>
      <c r="L18" s="11">
        <f>SUM(L16+L17)*2*0.96</f>
        <v>65616.09599999999</v>
      </c>
      <c r="M18" s="11">
        <f>SUM(M16+M17)*2*0.93</f>
        <v>63565.592999999993</v>
      </c>
      <c r="N18" s="11">
        <f>SUM(N16+N17)*2*0.98</f>
        <v>66983.097999999984</v>
      </c>
      <c r="O18" s="11">
        <f>SUM(O16+O17)*2*0.99</f>
        <v>67666.598999999987</v>
      </c>
      <c r="Q18" t="s">
        <v>26</v>
      </c>
      <c r="S18" s="11">
        <f>SUM(S16+S17)*2</f>
        <v>95690.14</v>
      </c>
      <c r="T18" s="11">
        <f>SUM(T16+T17)*2*0.93</f>
        <v>88991.830200000011</v>
      </c>
      <c r="U18" s="11">
        <f>SUM(U16+U17)*2*0.95</f>
        <v>90905.633000000002</v>
      </c>
      <c r="V18" s="11">
        <f>SUM(V16+V17)*2*0.96</f>
        <v>91862.53439999999</v>
      </c>
      <c r="W18" s="11">
        <f>SUM(W16+W17)*2*0.93</f>
        <v>88991.830200000011</v>
      </c>
      <c r="X18" s="11">
        <f>SUM(X16+X17)*2*0.98</f>
        <v>93776.337199999994</v>
      </c>
      <c r="Y18" s="11">
        <f>SUM(Y16+Y17)*2*0.99</f>
        <v>94733.238599999997</v>
      </c>
    </row>
    <row r="19" spans="1:25" x14ac:dyDescent="0.2">
      <c r="A19" s="19" t="s">
        <v>10</v>
      </c>
      <c r="B19" s="19" t="s">
        <v>11</v>
      </c>
      <c r="C19" s="19" t="s">
        <v>12</v>
      </c>
      <c r="D19" s="19" t="s">
        <v>13</v>
      </c>
      <c r="E19" s="19" t="s">
        <v>14</v>
      </c>
      <c r="G19" t="s">
        <v>27</v>
      </c>
      <c r="I19" s="12">
        <f>I18-140238.902502</f>
        <v>-71888.80250200002</v>
      </c>
      <c r="J19" s="12">
        <f t="shared" ref="J19:O19" si="5">J18-140238.902502</f>
        <v>-76673.309502000018</v>
      </c>
      <c r="K19" s="12">
        <f t="shared" si="5"/>
        <v>-75306.307502000025</v>
      </c>
      <c r="L19" s="12">
        <f t="shared" si="5"/>
        <v>-74622.806502000021</v>
      </c>
      <c r="M19" s="12">
        <f t="shared" si="5"/>
        <v>-76673.309502000018</v>
      </c>
      <c r="N19" s="12">
        <f t="shared" si="5"/>
        <v>-73255.804502000028</v>
      </c>
      <c r="O19" s="12">
        <f t="shared" si="5"/>
        <v>-72572.303502000024</v>
      </c>
      <c r="Q19" t="s">
        <v>27</v>
      </c>
      <c r="S19" s="12">
        <f>S18-140238.902502</f>
        <v>-44548.762502000012</v>
      </c>
      <c r="T19" s="12">
        <f t="shared" ref="T19:Y19" si="6">T18-140238.902502</f>
        <v>-51247.072302</v>
      </c>
      <c r="U19" s="12">
        <f t="shared" si="6"/>
        <v>-49333.26950200001</v>
      </c>
      <c r="V19" s="12">
        <f t="shared" si="6"/>
        <v>-48376.368102000022</v>
      </c>
      <c r="W19" s="12">
        <f t="shared" si="6"/>
        <v>-51247.072302</v>
      </c>
      <c r="X19" s="12">
        <f t="shared" si="6"/>
        <v>-46462.565302000017</v>
      </c>
      <c r="Y19" s="12">
        <f t="shared" si="6"/>
        <v>-45505.663902000015</v>
      </c>
    </row>
    <row r="20" spans="1:25" x14ac:dyDescent="0.2">
      <c r="A20" s="8" t="s">
        <v>33</v>
      </c>
      <c r="B20" s="9">
        <f>1430*2</f>
        <v>2860</v>
      </c>
      <c r="C20" s="9"/>
      <c r="D20" s="9">
        <f>C20-B20</f>
        <v>-2860</v>
      </c>
      <c r="E20" s="8" t="s">
        <v>34</v>
      </c>
      <c r="G20" t="s">
        <v>28</v>
      </c>
      <c r="I20" s="13">
        <f>I18-114036.08517</f>
        <v>-45685.985170000014</v>
      </c>
      <c r="J20" s="13">
        <f t="shared" ref="J20:O20" si="7">J18-114036.08517</f>
        <v>-50470.492170000012</v>
      </c>
      <c r="K20" s="13">
        <f t="shared" si="7"/>
        <v>-49103.490170000019</v>
      </c>
      <c r="L20" s="13">
        <f t="shared" si="7"/>
        <v>-48419.989170000015</v>
      </c>
      <c r="M20" s="13">
        <f t="shared" si="7"/>
        <v>-50470.492170000012</v>
      </c>
      <c r="N20" s="13">
        <f t="shared" si="7"/>
        <v>-47052.987170000022</v>
      </c>
      <c r="O20" s="13">
        <f t="shared" si="7"/>
        <v>-46369.486170000018</v>
      </c>
      <c r="Q20" t="s">
        <v>28</v>
      </c>
      <c r="S20" s="13">
        <f>S18-114036.08517</f>
        <v>-18345.945170000006</v>
      </c>
      <c r="T20" s="13">
        <f t="shared" ref="T20:Y20" si="8">T18-114036.08517</f>
        <v>-25044.254969999995</v>
      </c>
      <c r="U20" s="13">
        <f t="shared" si="8"/>
        <v>-23130.452170000004</v>
      </c>
      <c r="V20" s="13">
        <f t="shared" si="8"/>
        <v>-22173.550770000016</v>
      </c>
      <c r="W20" s="13">
        <f t="shared" si="8"/>
        <v>-25044.254969999995</v>
      </c>
      <c r="X20" s="13">
        <f t="shared" si="8"/>
        <v>-20259.747970000011</v>
      </c>
      <c r="Y20" s="13">
        <f t="shared" si="8"/>
        <v>-19302.846570000009</v>
      </c>
    </row>
    <row r="21" spans="1:25" x14ac:dyDescent="0.2">
      <c r="A21" s="8" t="s">
        <v>35</v>
      </c>
      <c r="B21" s="9">
        <f>20*1509 + 20*1449</f>
        <v>59160</v>
      </c>
      <c r="C21" s="9"/>
      <c r="D21" s="9">
        <f>C21-B21</f>
        <v>-59160</v>
      </c>
      <c r="E21" s="8" t="s">
        <v>36</v>
      </c>
    </row>
    <row r="22" spans="1:25" x14ac:dyDescent="0.2">
      <c r="A22" s="8" t="s">
        <v>37</v>
      </c>
      <c r="B22" s="9">
        <f>51*1209 + 51*239</f>
        <v>73848</v>
      </c>
      <c r="C22" s="9"/>
      <c r="D22" s="9">
        <f t="shared" ref="D22:D27" si="9">C22-B22</f>
        <v>-73848</v>
      </c>
      <c r="E22" s="8" t="s">
        <v>38</v>
      </c>
      <c r="I22" t="s">
        <v>8</v>
      </c>
      <c r="L22" t="s">
        <v>9</v>
      </c>
      <c r="S22" t="s">
        <v>8</v>
      </c>
      <c r="V22" t="s">
        <v>9</v>
      </c>
    </row>
    <row r="23" spans="1:25" x14ac:dyDescent="0.2">
      <c r="A23" s="8" t="s">
        <v>39</v>
      </c>
      <c r="B23" s="9">
        <f>40*2000+17*219</f>
        <v>83723</v>
      </c>
      <c r="C23" s="9"/>
      <c r="D23" s="9">
        <f t="shared" si="9"/>
        <v>-83723</v>
      </c>
      <c r="E23" s="8" t="s">
        <v>40</v>
      </c>
      <c r="G23" s="7" t="s">
        <v>41</v>
      </c>
      <c r="I23" t="s">
        <v>15</v>
      </c>
      <c r="J23" t="s">
        <v>16</v>
      </c>
      <c r="K23" t="s">
        <v>17</v>
      </c>
      <c r="L23" t="s">
        <v>18</v>
      </c>
      <c r="M23" t="s">
        <v>19</v>
      </c>
      <c r="N23" t="s">
        <v>20</v>
      </c>
      <c r="O23" t="s">
        <v>21</v>
      </c>
      <c r="Q23" s="7" t="s">
        <v>42</v>
      </c>
      <c r="S23" t="s">
        <v>15</v>
      </c>
      <c r="T23" t="s">
        <v>16</v>
      </c>
      <c r="U23" t="s">
        <v>17</v>
      </c>
      <c r="V23" t="s">
        <v>18</v>
      </c>
      <c r="W23" t="s">
        <v>19</v>
      </c>
      <c r="X23" t="s">
        <v>20</v>
      </c>
      <c r="Y23" t="s">
        <v>21</v>
      </c>
    </row>
    <row r="24" spans="1:25" x14ac:dyDescent="0.2">
      <c r="A24" s="8" t="s">
        <v>43</v>
      </c>
      <c r="B24" s="9">
        <f>7*1400 + 4*219</f>
        <v>10676</v>
      </c>
      <c r="C24" s="9"/>
      <c r="D24" s="9">
        <f t="shared" si="9"/>
        <v>-10676</v>
      </c>
      <c r="E24" s="8" t="s">
        <v>44</v>
      </c>
      <c r="G24" s="10" t="s">
        <v>24</v>
      </c>
      <c r="H24" s="10">
        <v>8.33</v>
      </c>
      <c r="I24">
        <f>H24*7400*0.885</f>
        <v>54553.17</v>
      </c>
      <c r="J24">
        <f>H24*7400*0.885</f>
        <v>54553.17</v>
      </c>
      <c r="K24">
        <f>H24*7400*0.885</f>
        <v>54553.17</v>
      </c>
      <c r="L24">
        <f>H24*7400*0.885</f>
        <v>54553.17</v>
      </c>
      <c r="M24">
        <f>H24*7400*0.885</f>
        <v>54553.17</v>
      </c>
      <c r="N24">
        <f>H24*7400*0.885</f>
        <v>54553.17</v>
      </c>
      <c r="O24">
        <f>H24*7400*0.885</f>
        <v>54553.17</v>
      </c>
      <c r="Q24" s="10" t="s">
        <v>24</v>
      </c>
      <c r="R24" s="10">
        <v>6.37</v>
      </c>
      <c r="S24">
        <f>R24*7400*0.885</f>
        <v>41717.129999999997</v>
      </c>
      <c r="T24">
        <f>R24*7400*0.885</f>
        <v>41717.129999999997</v>
      </c>
      <c r="U24">
        <f>R24*7400*0.885</f>
        <v>41717.129999999997</v>
      </c>
      <c r="V24">
        <f>R24*7400*0.885</f>
        <v>41717.129999999997</v>
      </c>
      <c r="W24">
        <f>R24*7400*0.885</f>
        <v>41717.129999999997</v>
      </c>
      <c r="X24">
        <f>R24*7400*0.885</f>
        <v>41717.129999999997</v>
      </c>
      <c r="Y24">
        <f>R24*7400*0.885</f>
        <v>41717.129999999997</v>
      </c>
    </row>
    <row r="25" spans="1:25" x14ac:dyDescent="0.2">
      <c r="A25" s="8" t="s">
        <v>45</v>
      </c>
      <c r="B25" s="9">
        <f>20*1300 + 219*15</f>
        <v>29285</v>
      </c>
      <c r="C25" s="9"/>
      <c r="D25" s="9">
        <f t="shared" si="9"/>
        <v>-29285</v>
      </c>
      <c r="E25" s="8" t="s">
        <v>46</v>
      </c>
      <c r="G25" t="s">
        <v>25</v>
      </c>
      <c r="H25">
        <f>H24/2</f>
        <v>4.165</v>
      </c>
      <c r="I25">
        <f>H25*7400*0.115</f>
        <v>3544.415</v>
      </c>
      <c r="J25">
        <f>H25*7400*0.115</f>
        <v>3544.415</v>
      </c>
      <c r="K25">
        <f>H25*7400*0.115</f>
        <v>3544.415</v>
      </c>
      <c r="L25">
        <f>H25*7400*0.115</f>
        <v>3544.415</v>
      </c>
      <c r="M25">
        <f>H25*7400*0.115</f>
        <v>3544.415</v>
      </c>
      <c r="N25">
        <f>H25*7400*0.115</f>
        <v>3544.415</v>
      </c>
      <c r="O25">
        <f>H25*7400*0.115</f>
        <v>3544.415</v>
      </c>
      <c r="Q25" t="s">
        <v>25</v>
      </c>
      <c r="R25">
        <f>R24/2</f>
        <v>3.1850000000000001</v>
      </c>
      <c r="S25">
        <f>R25*7400*0.115</f>
        <v>2710.4349999999999</v>
      </c>
      <c r="T25">
        <f>R25*7400*0.115</f>
        <v>2710.4349999999999</v>
      </c>
      <c r="U25">
        <f>R25*7400*0.115</f>
        <v>2710.4349999999999</v>
      </c>
      <c r="V25">
        <f>R25*7400*0.115</f>
        <v>2710.4349999999999</v>
      </c>
      <c r="W25">
        <f>R25*7400*0.115</f>
        <v>2710.4349999999999</v>
      </c>
      <c r="X25">
        <f>R25*7400*0.115</f>
        <v>2710.4349999999999</v>
      </c>
      <c r="Y25">
        <f>R25*7400*0.115</f>
        <v>2710.4349999999999</v>
      </c>
    </row>
    <row r="26" spans="1:25" x14ac:dyDescent="0.2">
      <c r="A26" s="8" t="s">
        <v>47</v>
      </c>
      <c r="B26" s="9">
        <f>1480*3 + 31 * 1100 + 31*219</f>
        <v>45329</v>
      </c>
      <c r="C26" s="9"/>
      <c r="D26" s="9">
        <f t="shared" si="9"/>
        <v>-45329</v>
      </c>
      <c r="E26" s="8" t="s">
        <v>48</v>
      </c>
      <c r="G26" t="s">
        <v>26</v>
      </c>
      <c r="I26" s="11">
        <f>SUM(I24+I25)*2</f>
        <v>116195.17</v>
      </c>
      <c r="J26" s="11">
        <f>SUM(J24+J25)*2*0.93</f>
        <v>108061.50810000001</v>
      </c>
      <c r="K26" s="11">
        <f>SUM(K24+K25)*2*0.95</f>
        <v>110385.41149999999</v>
      </c>
      <c r="L26" s="11">
        <f>SUM(L24+L25)*2*0.96</f>
        <v>111547.36319999999</v>
      </c>
      <c r="M26" s="11">
        <f>SUM(M24+M25)*2*0.93</f>
        <v>108061.50810000001</v>
      </c>
      <c r="N26" s="11">
        <f>SUM(N24+N25)*2*0.98</f>
        <v>113871.2666</v>
      </c>
      <c r="O26" s="11">
        <f>SUM(O24+O25)*2*0.99</f>
        <v>115033.21829999999</v>
      </c>
      <c r="Q26" t="s">
        <v>26</v>
      </c>
      <c r="S26" s="11">
        <f>SUM(S24+S25)*2</f>
        <v>88855.12999999999</v>
      </c>
      <c r="T26" s="11">
        <f>SUM(T24+T25)*2*0.93</f>
        <v>82635.270899999989</v>
      </c>
      <c r="U26" s="11">
        <f>SUM(U24+U25)*2*0.95</f>
        <v>84412.373499999987</v>
      </c>
      <c r="V26" s="11">
        <f>SUM(V24+V25)*2*0.96</f>
        <v>85300.924799999993</v>
      </c>
      <c r="W26" s="11">
        <f>SUM(W24+W25)*2*0.93</f>
        <v>82635.270899999989</v>
      </c>
      <c r="X26" s="11">
        <f>SUM(X24+X25)*2*0.98</f>
        <v>87078.027399999992</v>
      </c>
      <c r="Y26" s="11">
        <f>SUM(Y24+Y25)*2*0.99</f>
        <v>87966.578699999984</v>
      </c>
    </row>
    <row r="27" spans="1:25" x14ac:dyDescent="0.2">
      <c r="A27" s="8"/>
      <c r="B27" s="9"/>
      <c r="C27" s="9"/>
      <c r="D27" s="9">
        <f t="shared" si="9"/>
        <v>0</v>
      </c>
      <c r="E27" s="8"/>
      <c r="G27" t="s">
        <v>27</v>
      </c>
      <c r="I27" s="12">
        <f>I26-140238.902502</f>
        <v>-24043.732502000013</v>
      </c>
      <c r="J27" s="12">
        <f t="shared" ref="J27:O27" si="10">J26-140238.902502</f>
        <v>-32177.394402000005</v>
      </c>
      <c r="K27" s="12">
        <f t="shared" si="10"/>
        <v>-29853.491002000024</v>
      </c>
      <c r="L27" s="12">
        <f t="shared" si="10"/>
        <v>-28691.539302000019</v>
      </c>
      <c r="M27" s="12">
        <f t="shared" si="10"/>
        <v>-32177.394402000005</v>
      </c>
      <c r="N27" s="12">
        <f t="shared" si="10"/>
        <v>-26367.635902000009</v>
      </c>
      <c r="O27" s="12">
        <f t="shared" si="10"/>
        <v>-25205.684202000019</v>
      </c>
      <c r="Q27" t="s">
        <v>27</v>
      </c>
      <c r="S27" s="12">
        <f>S26-140238.902502</f>
        <v>-51383.772502000022</v>
      </c>
      <c r="T27" s="12">
        <f t="shared" ref="T27:Y27" si="11">T26-140238.902502</f>
        <v>-57603.631602000023</v>
      </c>
      <c r="U27" s="12">
        <f t="shared" si="11"/>
        <v>-55826.529002000025</v>
      </c>
      <c r="V27" s="12">
        <f t="shared" si="11"/>
        <v>-54937.977702000018</v>
      </c>
      <c r="W27" s="12">
        <f t="shared" si="11"/>
        <v>-57603.631602000023</v>
      </c>
      <c r="X27" s="12">
        <f t="shared" si="11"/>
        <v>-53160.87510200002</v>
      </c>
      <c r="Y27" s="12">
        <f t="shared" si="11"/>
        <v>-52272.323802000028</v>
      </c>
    </row>
    <row r="28" spans="1:25" x14ac:dyDescent="0.2">
      <c r="A28" s="8"/>
      <c r="B28" s="9"/>
      <c r="C28" s="9"/>
      <c r="D28" s="9">
        <f>C28-B28</f>
        <v>0</v>
      </c>
      <c r="E28" s="8"/>
      <c r="G28" t="s">
        <v>28</v>
      </c>
      <c r="I28" s="13">
        <f>I26-114036.08517</f>
        <v>2159.0848299999925</v>
      </c>
      <c r="J28" s="13">
        <f t="shared" ref="J28:O28" si="12">J26-114036.08517</f>
        <v>-5974.5770699999994</v>
      </c>
      <c r="K28" s="13">
        <f t="shared" si="12"/>
        <v>-3650.6736700000183</v>
      </c>
      <c r="L28" s="13">
        <f t="shared" si="12"/>
        <v>-2488.7219700000132</v>
      </c>
      <c r="M28" s="13">
        <f t="shared" si="12"/>
        <v>-5974.5770699999994</v>
      </c>
      <c r="N28" s="13">
        <f t="shared" si="12"/>
        <v>-164.81857000000309</v>
      </c>
      <c r="O28" s="13">
        <f t="shared" si="12"/>
        <v>997.13312999998743</v>
      </c>
      <c r="Q28" t="s">
        <v>28</v>
      </c>
      <c r="S28" s="13">
        <f>S26-114036.08517</f>
        <v>-25180.955170000016</v>
      </c>
      <c r="T28" s="13">
        <f t="shared" ref="T28:Y28" si="13">T26-114036.08517</f>
        <v>-31400.814270000017</v>
      </c>
      <c r="U28" s="13">
        <f t="shared" si="13"/>
        <v>-29623.711670000019</v>
      </c>
      <c r="V28" s="13">
        <f t="shared" si="13"/>
        <v>-28735.160370000012</v>
      </c>
      <c r="W28" s="13">
        <f t="shared" si="13"/>
        <v>-31400.814270000017</v>
      </c>
      <c r="X28" s="13">
        <f t="shared" si="13"/>
        <v>-26958.057770000014</v>
      </c>
      <c r="Y28" s="13">
        <f t="shared" si="13"/>
        <v>-26069.506470000022</v>
      </c>
    </row>
    <row r="29" spans="1:25" x14ac:dyDescent="0.2">
      <c r="A29" s="8"/>
      <c r="B29" s="9"/>
      <c r="C29" s="9"/>
      <c r="D29" s="9">
        <f>C29-B29</f>
        <v>0</v>
      </c>
      <c r="E29" s="8"/>
    </row>
    <row r="30" spans="1:25" x14ac:dyDescent="0.2">
      <c r="A30" s="8"/>
      <c r="B30" s="9"/>
      <c r="C30" s="9"/>
      <c r="D30" s="9">
        <f>C30-B30</f>
        <v>0</v>
      </c>
      <c r="E30" s="8"/>
      <c r="I30" t="s">
        <v>8</v>
      </c>
      <c r="L30" t="s">
        <v>9</v>
      </c>
      <c r="S30" t="s">
        <v>8</v>
      </c>
      <c r="V30" t="s">
        <v>9</v>
      </c>
    </row>
    <row r="31" spans="1:25" x14ac:dyDescent="0.2">
      <c r="A31" s="8"/>
      <c r="B31" s="9"/>
      <c r="C31" s="9"/>
      <c r="D31" s="9">
        <f>C31-B31</f>
        <v>0</v>
      </c>
      <c r="E31" s="8"/>
      <c r="G31" s="7" t="s">
        <v>49</v>
      </c>
      <c r="I31" t="s">
        <v>15</v>
      </c>
      <c r="J31" t="s">
        <v>16</v>
      </c>
      <c r="K31" t="s">
        <v>17</v>
      </c>
      <c r="L31" t="s">
        <v>18</v>
      </c>
      <c r="M31" t="s">
        <v>19</v>
      </c>
      <c r="N31" t="s">
        <v>20</v>
      </c>
      <c r="O31" t="s">
        <v>21</v>
      </c>
      <c r="Q31" s="7" t="s">
        <v>50</v>
      </c>
      <c r="S31" t="s">
        <v>15</v>
      </c>
      <c r="T31" t="s">
        <v>16</v>
      </c>
      <c r="U31" t="s">
        <v>17</v>
      </c>
      <c r="V31" t="s">
        <v>18</v>
      </c>
      <c r="W31" t="s">
        <v>19</v>
      </c>
      <c r="X31" t="s">
        <v>20</v>
      </c>
      <c r="Y31" t="s">
        <v>21</v>
      </c>
    </row>
    <row r="32" spans="1:25" x14ac:dyDescent="0.2">
      <c r="A32" s="14" t="s">
        <v>51</v>
      </c>
      <c r="B32" s="15">
        <f>SUM(B20:B31)</f>
        <v>304881</v>
      </c>
      <c r="C32" s="15">
        <f>SUM(C20:C28)</f>
        <v>0</v>
      </c>
      <c r="D32" s="15">
        <f>SUM(D20:D31)</f>
        <v>-304881</v>
      </c>
      <c r="E32" s="14"/>
      <c r="G32" s="10" t="s">
        <v>24</v>
      </c>
      <c r="H32" s="10">
        <v>7.84</v>
      </c>
      <c r="I32">
        <f>H32*7400*0.885</f>
        <v>51344.160000000003</v>
      </c>
      <c r="J32">
        <f>H32*7400*0.885</f>
        <v>51344.160000000003</v>
      </c>
      <c r="K32">
        <f>H32*7400*0.885</f>
        <v>51344.160000000003</v>
      </c>
      <c r="L32">
        <f>H32*7400*0.885</f>
        <v>51344.160000000003</v>
      </c>
      <c r="M32">
        <f>H32*7400*0.885</f>
        <v>51344.160000000003</v>
      </c>
      <c r="N32">
        <f>H32*7400*0.885</f>
        <v>51344.160000000003</v>
      </c>
      <c r="O32">
        <f>H32*7400*0.885</f>
        <v>51344.160000000003</v>
      </c>
      <c r="Q32" s="10" t="s">
        <v>24</v>
      </c>
      <c r="R32" s="10">
        <v>5.88</v>
      </c>
      <c r="S32">
        <f>R32*7400*0.885</f>
        <v>38508.120000000003</v>
      </c>
      <c r="T32">
        <f>R32*7400*0.885</f>
        <v>38508.120000000003</v>
      </c>
      <c r="U32">
        <f>R32*7400*0.885</f>
        <v>38508.120000000003</v>
      </c>
      <c r="V32">
        <f>R32*7400*0.885</f>
        <v>38508.120000000003</v>
      </c>
      <c r="W32">
        <f>R32*7400*0.885</f>
        <v>38508.120000000003</v>
      </c>
      <c r="X32">
        <f>R32*7400*0.885</f>
        <v>38508.120000000003</v>
      </c>
      <c r="Y32">
        <f>R32*7400*0.885</f>
        <v>38508.120000000003</v>
      </c>
    </row>
    <row r="33" spans="1:25" x14ac:dyDescent="0.2">
      <c r="A33" s="8"/>
      <c r="B33" s="8"/>
      <c r="C33" s="8"/>
      <c r="D33" s="8"/>
      <c r="E33" s="8"/>
      <c r="G33" t="s">
        <v>25</v>
      </c>
      <c r="H33">
        <f>H32/2</f>
        <v>3.92</v>
      </c>
      <c r="I33">
        <f>H33*7400*0.115</f>
        <v>3335.92</v>
      </c>
      <c r="J33">
        <f>H33*7400*0.115</f>
        <v>3335.92</v>
      </c>
      <c r="K33">
        <f>H33*7400*0.115</f>
        <v>3335.92</v>
      </c>
      <c r="L33">
        <f>H33*7400*0.115</f>
        <v>3335.92</v>
      </c>
      <c r="M33">
        <f>H33*7400*0.115</f>
        <v>3335.92</v>
      </c>
      <c r="N33">
        <f>H33*7400*0.115</f>
        <v>3335.92</v>
      </c>
      <c r="O33">
        <f>H33*7400*0.115</f>
        <v>3335.92</v>
      </c>
      <c r="Q33" t="s">
        <v>25</v>
      </c>
      <c r="R33">
        <f>R32/2</f>
        <v>2.94</v>
      </c>
      <c r="S33">
        <f>R33*7400*0.115</f>
        <v>2501.94</v>
      </c>
      <c r="T33">
        <f>R33*7400*0.115</f>
        <v>2501.94</v>
      </c>
      <c r="U33">
        <f>R33*7400*0.115</f>
        <v>2501.94</v>
      </c>
      <c r="V33">
        <f>R33*7400*0.115</f>
        <v>2501.94</v>
      </c>
      <c r="W33">
        <f>R33*7400*0.115</f>
        <v>2501.94</v>
      </c>
      <c r="X33">
        <f>R33*7400*0.115</f>
        <v>2501.94</v>
      </c>
      <c r="Y33">
        <f>R33*7400*0.115</f>
        <v>2501.94</v>
      </c>
    </row>
    <row r="34" spans="1:25" ht="21" x14ac:dyDescent="0.25">
      <c r="A34" s="20" t="s">
        <v>52</v>
      </c>
      <c r="B34" s="21">
        <f>B16-B32</f>
        <v>-304881</v>
      </c>
      <c r="C34" s="21">
        <f>C16-C32</f>
        <v>0</v>
      </c>
      <c r="D34" s="22"/>
      <c r="E34" s="22"/>
      <c r="G34" t="s">
        <v>26</v>
      </c>
      <c r="I34" s="11">
        <f>SUM(I32+I33)*2</f>
        <v>109360.16</v>
      </c>
      <c r="J34" s="11">
        <f>SUM(J32+J33)*2*0.93</f>
        <v>101704.94880000001</v>
      </c>
      <c r="K34" s="11">
        <f>SUM(K32+K33)*2*0.95</f>
        <v>103892.152</v>
      </c>
      <c r="L34" s="11">
        <f>SUM(L32+L33)*2*0.96</f>
        <v>104985.7536</v>
      </c>
      <c r="M34" s="11">
        <f>SUM(M32+M33)*2*0.93</f>
        <v>101704.94880000001</v>
      </c>
      <c r="N34" s="11">
        <f>SUM(N32+N33)*2*0.98</f>
        <v>107172.9568</v>
      </c>
      <c r="O34" s="11">
        <f>SUM(O32+O33)*2*0.99</f>
        <v>108266.55840000001</v>
      </c>
      <c r="Q34" t="s">
        <v>26</v>
      </c>
      <c r="S34" s="11">
        <f>SUM(S32+S33)*2</f>
        <v>82020.12000000001</v>
      </c>
      <c r="T34" s="11">
        <f>SUM(T32+T33)*2*0.93</f>
        <v>76278.71160000001</v>
      </c>
      <c r="U34" s="11">
        <f>SUM(U32+U33)*2*0.95</f>
        <v>77919.114000000001</v>
      </c>
      <c r="V34" s="11">
        <f>SUM(V32+V33)*2*0.96</f>
        <v>78739.315200000012</v>
      </c>
      <c r="W34" s="11">
        <f>SUM(W32+W33)*2*0.93</f>
        <v>76278.71160000001</v>
      </c>
      <c r="X34" s="11">
        <f>SUM(X32+X33)*2*0.98</f>
        <v>80379.717600000004</v>
      </c>
      <c r="Y34" s="11">
        <f>SUM(Y32+Y33)*2*0.99</f>
        <v>81199.918800000014</v>
      </c>
    </row>
    <row r="35" spans="1:25" x14ac:dyDescent="0.2">
      <c r="G35" t="s">
        <v>27</v>
      </c>
      <c r="I35" s="12">
        <f>I34-140238.902502</f>
        <v>-30878.742502000008</v>
      </c>
      <c r="J35" s="12">
        <f t="shared" ref="J35:O35" si="14">J34-140238.902502</f>
        <v>-38533.953701999999</v>
      </c>
      <c r="K35" s="12">
        <f t="shared" si="14"/>
        <v>-36346.75050200001</v>
      </c>
      <c r="L35" s="12">
        <f t="shared" si="14"/>
        <v>-35253.148902000015</v>
      </c>
      <c r="M35" s="12">
        <f t="shared" si="14"/>
        <v>-38533.953701999999</v>
      </c>
      <c r="N35" s="12">
        <f t="shared" si="14"/>
        <v>-33065.945702000012</v>
      </c>
      <c r="O35" s="12">
        <f t="shared" si="14"/>
        <v>-31972.344102000003</v>
      </c>
      <c r="Q35" t="s">
        <v>27</v>
      </c>
      <c r="S35" s="12">
        <f>S34-140238.902502</f>
        <v>-58218.782502000002</v>
      </c>
      <c r="T35" s="12">
        <f t="shared" ref="T35:Y35" si="15">T34-140238.902502</f>
        <v>-63960.190902000002</v>
      </c>
      <c r="U35" s="12">
        <f t="shared" si="15"/>
        <v>-62319.78850200001</v>
      </c>
      <c r="V35" s="12">
        <f t="shared" si="15"/>
        <v>-61499.587302</v>
      </c>
      <c r="W35" s="12">
        <f t="shared" si="15"/>
        <v>-63960.190902000002</v>
      </c>
      <c r="X35" s="12">
        <f t="shared" si="15"/>
        <v>-59859.184902000008</v>
      </c>
      <c r="Y35" s="12">
        <f t="shared" si="15"/>
        <v>-59038.983701999998</v>
      </c>
    </row>
    <row r="36" spans="1:25" x14ac:dyDescent="0.2">
      <c r="A36" s="31" t="s">
        <v>74</v>
      </c>
      <c r="G36" t="s">
        <v>28</v>
      </c>
      <c r="I36" s="13">
        <f>I34-114036.08517</f>
        <v>-4675.9251700000023</v>
      </c>
      <c r="J36" s="13">
        <f t="shared" ref="J36:O36" si="16">J34-114036.08517</f>
        <v>-12331.136369999993</v>
      </c>
      <c r="K36" s="13">
        <f t="shared" si="16"/>
        <v>-10143.933170000004</v>
      </c>
      <c r="L36" s="13">
        <f t="shared" si="16"/>
        <v>-9050.3315700000094</v>
      </c>
      <c r="M36" s="13">
        <f t="shared" si="16"/>
        <v>-12331.136369999993</v>
      </c>
      <c r="N36" s="13">
        <f t="shared" si="16"/>
        <v>-6863.1283700000058</v>
      </c>
      <c r="O36" s="13">
        <f t="shared" si="16"/>
        <v>-5769.5267699999968</v>
      </c>
      <c r="Q36" t="s">
        <v>28</v>
      </c>
      <c r="S36" s="13">
        <f>S34-114036.08517</f>
        <v>-32015.965169999996</v>
      </c>
      <c r="T36" s="13">
        <f t="shared" ref="T36:Y36" si="17">T34-114036.08517</f>
        <v>-37757.373569999996</v>
      </c>
      <c r="U36" s="13">
        <f t="shared" si="17"/>
        <v>-36116.971170000004</v>
      </c>
      <c r="V36" s="13">
        <f t="shared" si="17"/>
        <v>-35296.769969999994</v>
      </c>
      <c r="W36" s="13">
        <f t="shared" si="17"/>
        <v>-37757.373569999996</v>
      </c>
      <c r="X36" s="13">
        <f t="shared" si="17"/>
        <v>-33656.367570000002</v>
      </c>
      <c r="Y36" s="13">
        <f t="shared" si="17"/>
        <v>-32836.166369999992</v>
      </c>
    </row>
    <row r="37" spans="1:25" x14ac:dyDescent="0.2">
      <c r="A37" t="s">
        <v>53</v>
      </c>
      <c r="B37" s="23">
        <f>B21</f>
        <v>59160</v>
      </c>
    </row>
    <row r="38" spans="1:25" x14ac:dyDescent="0.2">
      <c r="A38" t="s">
        <v>54</v>
      </c>
      <c r="B38" s="24">
        <f>SUM(B20+((B22+B23+B24+B25)/2)+B26)</f>
        <v>146955</v>
      </c>
      <c r="J38" t="s">
        <v>55</v>
      </c>
    </row>
    <row r="39" spans="1:25" x14ac:dyDescent="0.2">
      <c r="J39" s="25" t="s">
        <v>56</v>
      </c>
      <c r="K39" s="25" t="s">
        <v>57</v>
      </c>
      <c r="L39" s="25" t="s">
        <v>58</v>
      </c>
    </row>
    <row r="40" spans="1:25" x14ac:dyDescent="0.2">
      <c r="A40" t="s">
        <v>59</v>
      </c>
      <c r="B40" s="24">
        <f>B37/3 + B38/4</f>
        <v>56458.75</v>
      </c>
      <c r="D40" t="s">
        <v>60</v>
      </c>
    </row>
    <row r="41" spans="1:25" x14ac:dyDescent="0.2">
      <c r="A41" t="s">
        <v>61</v>
      </c>
      <c r="B41" s="26">
        <v>29000</v>
      </c>
      <c r="D41" t="s">
        <v>62</v>
      </c>
      <c r="I41" t="s">
        <v>63</v>
      </c>
      <c r="J41">
        <f>288.73+20981.24+1248.77+576+767.84+115.75+195.75+13204.26+40329.01+1017.2</f>
        <v>78724.55</v>
      </c>
      <c r="K41">
        <f>1845.45+152183.05+15004.46+154.13+52+181.79+29192.4+1600.44+664+958.86</f>
        <v>201836.58</v>
      </c>
      <c r="L41">
        <f>847.27+19420.55+13525.79+57.97+12960.72+8481.47+1128.6+708+352.87</f>
        <v>57483.240000000005</v>
      </c>
    </row>
    <row r="42" spans="1:25" x14ac:dyDescent="0.2">
      <c r="A42" t="s">
        <v>64</v>
      </c>
      <c r="B42" s="26">
        <v>15000</v>
      </c>
      <c r="D42" t="s">
        <v>62</v>
      </c>
      <c r="I42" t="s">
        <v>65</v>
      </c>
      <c r="J42">
        <f>27440.41+5262.96</f>
        <v>32703.37</v>
      </c>
      <c r="K42">
        <f>13486+4456</f>
        <v>17942</v>
      </c>
      <c r="L42">
        <f>3623.86+15533.05+3386.88</f>
        <v>22543.79</v>
      </c>
    </row>
    <row r="43" spans="1:25" x14ac:dyDescent="0.2">
      <c r="A43" t="s">
        <v>66</v>
      </c>
      <c r="B43" s="26">
        <v>7000</v>
      </c>
      <c r="D43" t="s">
        <v>62</v>
      </c>
      <c r="I43" t="s">
        <v>67</v>
      </c>
      <c r="J43">
        <f>SUM(J41+J42)</f>
        <v>111427.92</v>
      </c>
      <c r="K43">
        <f t="shared" ref="K43:L43" si="18">SUM(K41+K42)</f>
        <v>219778.58</v>
      </c>
      <c r="L43">
        <f t="shared" si="18"/>
        <v>80027.03</v>
      </c>
    </row>
    <row r="44" spans="1:25" x14ac:dyDescent="0.2">
      <c r="B44" s="27"/>
    </row>
    <row r="45" spans="1:25" x14ac:dyDescent="0.2">
      <c r="A45" s="28" t="s">
        <v>68</v>
      </c>
      <c r="B45" s="29">
        <f>SUM(B40:B43)</f>
        <v>107458.75</v>
      </c>
      <c r="D45" t="s">
        <v>69</v>
      </c>
      <c r="I45" t="s">
        <v>70</v>
      </c>
      <c r="J45" s="30">
        <v>127637.65</v>
      </c>
      <c r="K45" s="30">
        <v>127755.25</v>
      </c>
      <c r="L45" s="30">
        <v>125190.1</v>
      </c>
    </row>
    <row r="46" spans="1:25" x14ac:dyDescent="0.2">
      <c r="A46" s="28" t="s">
        <v>71</v>
      </c>
      <c r="B46" s="29">
        <f>B45*1.02^3</f>
        <v>114036.08516999999</v>
      </c>
      <c r="D46" t="s">
        <v>72</v>
      </c>
      <c r="I46" t="s">
        <v>73</v>
      </c>
      <c r="J46" s="30">
        <f>J45-J43</f>
        <v>16209.729999999996</v>
      </c>
      <c r="K46" s="30">
        <f t="shared" ref="K46:L46" si="19">K45-K43</f>
        <v>-92023.329999999987</v>
      </c>
      <c r="L46" s="30">
        <f t="shared" si="19"/>
        <v>45163.070000000007</v>
      </c>
    </row>
    <row r="47" spans="1:25" x14ac:dyDescent="0.2">
      <c r="B47" s="27"/>
      <c r="J47" s="30"/>
    </row>
    <row r="49" spans="1:10" x14ac:dyDescent="0.2">
      <c r="A49" s="31" t="s">
        <v>75</v>
      </c>
      <c r="J49" s="30"/>
    </row>
    <row r="50" spans="1:10" x14ac:dyDescent="0.2">
      <c r="A50" t="s">
        <v>53</v>
      </c>
      <c r="B50" s="23">
        <f>B21</f>
        <v>59160</v>
      </c>
    </row>
    <row r="51" spans="1:10" x14ac:dyDescent="0.2">
      <c r="A51" t="s">
        <v>54</v>
      </c>
      <c r="B51" s="24">
        <f>SUM(B20+(B22+B23+B24+B25)+B26)</f>
        <v>245721</v>
      </c>
    </row>
    <row r="53" spans="1:10" x14ac:dyDescent="0.2">
      <c r="A53" t="s">
        <v>59</v>
      </c>
      <c r="B53" s="24">
        <f>B50/3 + B51/4</f>
        <v>81150.25</v>
      </c>
    </row>
    <row r="54" spans="1:10" x14ac:dyDescent="0.2">
      <c r="A54" t="s">
        <v>61</v>
      </c>
      <c r="B54" s="26">
        <v>29000</v>
      </c>
    </row>
    <row r="55" spans="1:10" x14ac:dyDescent="0.2">
      <c r="A55" t="s">
        <v>64</v>
      </c>
      <c r="B55" s="26">
        <v>15000</v>
      </c>
    </row>
    <row r="56" spans="1:10" x14ac:dyDescent="0.2">
      <c r="A56" t="s">
        <v>66</v>
      </c>
      <c r="B56" s="26">
        <v>7000</v>
      </c>
    </row>
    <row r="57" spans="1:10" x14ac:dyDescent="0.2">
      <c r="B57" s="27"/>
    </row>
    <row r="58" spans="1:10" x14ac:dyDescent="0.2">
      <c r="A58" s="28" t="s">
        <v>68</v>
      </c>
      <c r="B58" s="29">
        <f>SUM(B53:B56)</f>
        <v>132150.25</v>
      </c>
    </row>
    <row r="59" spans="1:10" x14ac:dyDescent="0.2">
      <c r="A59" s="28" t="s">
        <v>71</v>
      </c>
      <c r="B59" s="29">
        <f>B58*1.02^3</f>
        <v>140238.90250199998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Greenspon</dc:creator>
  <cp:lastModifiedBy>Jacob Greenspon</cp:lastModifiedBy>
  <dcterms:created xsi:type="dcterms:W3CDTF">2016-02-21T19:21:53Z</dcterms:created>
  <dcterms:modified xsi:type="dcterms:W3CDTF">2016-02-23T20:31:43Z</dcterms:modified>
</cp:coreProperties>
</file>