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eepakpunjabi/Downloads/"/>
    </mc:Choice>
  </mc:AlternateContent>
  <bookViews>
    <workbookView xWindow="25580" yWindow="5080" windowWidth="10000" windowHeight="9140"/>
  </bookViews>
  <sheets>
    <sheet name="AUS Operating" sheetId="21" r:id="rId1"/>
    <sheet name="President" sheetId="26" r:id="rId2"/>
    <sheet name="VP Finance" sheetId="22" r:id="rId3"/>
    <sheet name="VP Academic" sheetId="23" r:id="rId4"/>
    <sheet name="VP Internal" sheetId="25" r:id="rId5"/>
    <sheet name="VP External" sheetId="24" r:id="rId6"/>
    <sheet name="VP Communications" sheetId="1" r:id="rId7"/>
    <sheet name="VP Social" sheetId="32" r:id="rId8"/>
    <sheet name="Office Expenses" sheetId="33" r:id="rId9"/>
    <sheet name="Summer Spending(for breakdown)" sheetId="35" r:id="rId10"/>
    <sheet name="Exec Spending(for breakdown)" sheetId="36" r:id="rId11"/>
    <sheet name="Allocations Departments" sheetId="38" r:id="rId12"/>
  </sheet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1" l="1"/>
  <c r="C58" i="21"/>
  <c r="C45" i="38"/>
  <c r="B45" i="38"/>
  <c r="B46" i="38"/>
  <c r="B4" i="38"/>
  <c r="C8" i="21"/>
  <c r="C54" i="21"/>
  <c r="C26" i="33"/>
  <c r="C22" i="33"/>
  <c r="C49" i="21"/>
  <c r="C41" i="1"/>
  <c r="C48" i="21"/>
  <c r="C46" i="21"/>
  <c r="C16" i="21"/>
  <c r="C44" i="21"/>
  <c r="C47" i="21"/>
  <c r="C40" i="21"/>
  <c r="C11" i="21"/>
  <c r="C50" i="21"/>
  <c r="C39" i="21"/>
  <c r="C18" i="21"/>
  <c r="C24" i="21"/>
  <c r="C55" i="21"/>
  <c r="D33" i="21"/>
  <c r="D34" i="21"/>
  <c r="D35" i="21"/>
  <c r="D36" i="21"/>
  <c r="D37" i="21"/>
  <c r="D38" i="21"/>
  <c r="D39" i="21"/>
  <c r="D40" i="21"/>
  <c r="D41" i="21"/>
  <c r="D42" i="21"/>
  <c r="D43" i="21"/>
  <c r="D46" i="21"/>
  <c r="D47" i="21"/>
  <c r="D51" i="21"/>
  <c r="D52" i="21"/>
  <c r="D53" i="21"/>
  <c r="D56" i="21"/>
  <c r="D57" i="21"/>
  <c r="C60" i="21"/>
  <c r="D60" i="21"/>
  <c r="D32" i="21"/>
  <c r="D10" i="21"/>
  <c r="D11" i="21"/>
  <c r="D12" i="21"/>
  <c r="D13" i="21"/>
  <c r="D15" i="21"/>
  <c r="D16" i="21"/>
  <c r="D17" i="21"/>
  <c r="D19" i="21"/>
  <c r="D21" i="21"/>
  <c r="D22" i="21"/>
  <c r="D23" i="21"/>
  <c r="D25" i="21"/>
  <c r="D26" i="21"/>
  <c r="D9" i="21"/>
  <c r="C22" i="1"/>
  <c r="C17" i="26"/>
  <c r="B12" i="24"/>
  <c r="B18" i="21"/>
  <c r="D18" i="21"/>
  <c r="B44" i="21"/>
  <c r="D44" i="21"/>
  <c r="B14" i="21"/>
  <c r="D14" i="21"/>
  <c r="A22" i="35"/>
  <c r="B16" i="36"/>
  <c r="A15" i="36"/>
  <c r="B24" i="35"/>
  <c r="B24" i="33"/>
  <c r="A11" i="36"/>
  <c r="A12" i="36"/>
  <c r="A6" i="36"/>
  <c r="C16" i="32"/>
  <c r="C37" i="32"/>
  <c r="C39" i="32"/>
  <c r="B37" i="32"/>
  <c r="B50" i="21"/>
  <c r="D50" i="21"/>
  <c r="B16" i="32"/>
  <c r="B20" i="21"/>
  <c r="D20" i="21"/>
  <c r="B39" i="32"/>
  <c r="D37" i="32"/>
  <c r="C16" i="1"/>
  <c r="C37" i="1"/>
  <c r="C39" i="1"/>
  <c r="B16" i="1"/>
  <c r="B22" i="1"/>
  <c r="B37" i="1"/>
  <c r="B49" i="21"/>
  <c r="D49" i="21"/>
  <c r="B30" i="1"/>
  <c r="D37" i="1"/>
  <c r="D8" i="1"/>
  <c r="D9" i="1"/>
  <c r="D16" i="1"/>
  <c r="D10" i="1"/>
  <c r="D11" i="1"/>
  <c r="D12" i="1"/>
  <c r="D13" i="1"/>
  <c r="D14" i="1"/>
  <c r="D15" i="1"/>
  <c r="B46" i="21"/>
  <c r="C16" i="25"/>
  <c r="C39" i="25"/>
  <c r="C37" i="25"/>
  <c r="B37" i="25"/>
  <c r="B16" i="25"/>
  <c r="B39" i="25"/>
  <c r="D37" i="25"/>
  <c r="D16" i="25"/>
  <c r="C25" i="23"/>
  <c r="C27" i="23"/>
  <c r="B25" i="23"/>
  <c r="B27" i="23"/>
  <c r="D25" i="23"/>
  <c r="A6" i="35"/>
  <c r="A7" i="35"/>
  <c r="A8" i="35"/>
  <c r="A9" i="35"/>
  <c r="A10" i="35"/>
  <c r="A11" i="35"/>
  <c r="A12" i="35"/>
  <c r="A13" i="35"/>
  <c r="A14" i="35"/>
  <c r="A15" i="35"/>
  <c r="A16" i="35"/>
  <c r="A17" i="35"/>
  <c r="A18" i="35"/>
  <c r="B47" i="26"/>
  <c r="B10" i="26"/>
  <c r="B23" i="33"/>
  <c r="B20" i="33"/>
  <c r="B55" i="21"/>
  <c r="D55" i="21"/>
  <c r="B18" i="22"/>
  <c r="B23" i="22"/>
  <c r="B23" i="24"/>
  <c r="B48" i="21"/>
  <c r="D48" i="21"/>
  <c r="B25" i="24"/>
  <c r="C23" i="22"/>
  <c r="C12" i="22"/>
  <c r="C25" i="22"/>
  <c r="B12" i="22"/>
  <c r="D11" i="22"/>
  <c r="D10" i="22"/>
  <c r="D9" i="22"/>
  <c r="D12" i="22"/>
  <c r="D23" i="22"/>
  <c r="B39" i="1"/>
  <c r="B45" i="21"/>
  <c r="B25" i="22"/>
  <c r="B26" i="33"/>
  <c r="D24" i="21"/>
  <c r="B27" i="21"/>
  <c r="D27" i="21"/>
  <c r="D45" i="21"/>
  <c r="B28" i="33"/>
  <c r="B54" i="21"/>
  <c r="D54" i="21"/>
  <c r="B58" i="21"/>
  <c r="D58" i="21"/>
  <c r="B60" i="21"/>
  <c r="B62" i="21"/>
</calcChain>
</file>

<file path=xl/sharedStrings.xml><?xml version="1.0" encoding="utf-8"?>
<sst xmlns="http://schemas.openxmlformats.org/spreadsheetml/2006/main" count="623" uniqueCount="359">
  <si>
    <t>AUSB</t>
  </si>
  <si>
    <t>Arts Undergraduate Society</t>
  </si>
  <si>
    <t>AUS Office Expenses</t>
  </si>
  <si>
    <t>Revenue</t>
  </si>
  <si>
    <t>Description</t>
  </si>
  <si>
    <t>Projected</t>
  </si>
  <si>
    <t>Actual</t>
  </si>
  <si>
    <t>Variance</t>
  </si>
  <si>
    <t>Actual Notes</t>
  </si>
  <si>
    <t>Total Revenue</t>
  </si>
  <si>
    <t>Expenses</t>
  </si>
  <si>
    <t>Total Expenses</t>
  </si>
  <si>
    <t>Working Surplus / Deficit</t>
  </si>
  <si>
    <t>President</t>
  </si>
  <si>
    <t>Table Booking Revenue</t>
  </si>
  <si>
    <t>Locker Rentals</t>
  </si>
  <si>
    <t>Copienova Expenses</t>
  </si>
  <si>
    <t>Provide Support Chatline</t>
  </si>
  <si>
    <t>Work Your BA</t>
  </si>
  <si>
    <t>Insurance</t>
  </si>
  <si>
    <t>Exec Retreat</t>
  </si>
  <si>
    <t>Legal Fees</t>
  </si>
  <si>
    <t>Thank You Cards</t>
  </si>
  <si>
    <t>Locker Deposit Returns</t>
  </si>
  <si>
    <t>Elections</t>
  </si>
  <si>
    <t>Election Software</t>
  </si>
  <si>
    <t>Reimbursements for Candidates</t>
  </si>
  <si>
    <t>CRO Stipend</t>
  </si>
  <si>
    <t>DRO Stipends</t>
  </si>
  <si>
    <t>Transition Day</t>
  </si>
  <si>
    <t>Food and materials</t>
  </si>
  <si>
    <t>Alumni Mixer</t>
  </si>
  <si>
    <t xml:space="preserve">VP ACADEMIC </t>
  </si>
  <si>
    <t>Essay Centre Grant</t>
    <phoneticPr fontId="0" type="noConversion"/>
  </si>
  <si>
    <t>Researcher Stipend</t>
  </si>
  <si>
    <t>Teaching Awards &amp; Reception</t>
  </si>
  <si>
    <t>AIO Undergraduate Research Event</t>
  </si>
  <si>
    <t>Arts Undergraduate Research Symposium</t>
  </si>
  <si>
    <t>Town Hall Advertising</t>
  </si>
  <si>
    <t>Committee Refreshments</t>
  </si>
  <si>
    <t>Miscallaneous Expenses</t>
    <phoneticPr fontId="0" type="noConversion"/>
  </si>
  <si>
    <t>Lounge Bookings (External Groups)</t>
  </si>
  <si>
    <t>General</t>
  </si>
  <si>
    <t>AUS Promotional Items</t>
  </si>
  <si>
    <t>Activities Night</t>
  </si>
  <si>
    <t>$15/table. Projected amount takes into account Winter semester</t>
  </si>
  <si>
    <t>Snacks+Coffee - Projected amount is expecting to hold two roundtables in total (once per semester)</t>
  </si>
  <si>
    <t xml:space="preserve">Lounge </t>
  </si>
  <si>
    <t>Liquor Permits</t>
  </si>
  <si>
    <t>FEARC Flyers</t>
  </si>
  <si>
    <t>Orientation Week</t>
  </si>
  <si>
    <t>Events</t>
  </si>
  <si>
    <t>Departmental Orientation</t>
  </si>
  <si>
    <t>AUS Holiday Party</t>
  </si>
  <si>
    <t>AUS Awards</t>
  </si>
  <si>
    <t>Committees</t>
  </si>
  <si>
    <t>FEARC Allocation</t>
  </si>
  <si>
    <t>AUSEC Allocation</t>
  </si>
  <si>
    <t>Based on last year</t>
  </si>
  <si>
    <t>Equity Allocation</t>
  </si>
  <si>
    <t>Graduate and Professional Schools Fair Revenue</t>
  </si>
  <si>
    <t>Prep101</t>
  </si>
  <si>
    <t>The Princeton Review</t>
  </si>
  <si>
    <t>Graduate and Professional Schools Fair</t>
  </si>
  <si>
    <t>Catering, booklets, printing, parking, cloths, etc.</t>
  </si>
  <si>
    <t xml:space="preserve">Arts Community Engagement Committee </t>
  </si>
  <si>
    <t>Various events throughout the year (embrACE volunteer week, food, promotional costs, transport, venue booking)</t>
  </si>
  <si>
    <t>Careers Portfolio</t>
  </si>
  <si>
    <t>Various events throughout the year (speaker series, food, wine &amp; cheese, promotional costs, venue booking…)</t>
  </si>
  <si>
    <t xml:space="preserve">Community Engagaement </t>
  </si>
  <si>
    <t xml:space="preserve">AUS Vice-President External </t>
  </si>
  <si>
    <t>Agendas (600)</t>
  </si>
  <si>
    <t>Webmaster Stipend</t>
  </si>
  <si>
    <t>Media Department</t>
  </si>
  <si>
    <t>Translator Stipend</t>
  </si>
  <si>
    <t>Francophone Commission</t>
  </si>
  <si>
    <t>Marketing Committee</t>
  </si>
  <si>
    <t>VP Finance Portfolio</t>
  </si>
  <si>
    <t>Auditing costs (Fuller-Landau)</t>
  </si>
  <si>
    <t xml:space="preserve">Quickbooks license </t>
  </si>
  <si>
    <t>Banking fees</t>
  </si>
  <si>
    <t>Based on 2013-2014 costs</t>
  </si>
  <si>
    <t>AUIF catering</t>
  </si>
  <si>
    <t>1000 laser printer cheques</t>
  </si>
  <si>
    <t>Incidental expenses</t>
  </si>
  <si>
    <t>Stop orders on cheques, taxi fares, mailing, HDMI/USB cord, etc</t>
  </si>
  <si>
    <t xml:space="preserve">President </t>
  </si>
  <si>
    <t>VP Finance</t>
  </si>
  <si>
    <t>VP Internal</t>
  </si>
  <si>
    <t>VP Academic</t>
  </si>
  <si>
    <t>VP External</t>
  </si>
  <si>
    <t>VP Communications</t>
  </si>
  <si>
    <t>Departmental Association Allocations</t>
  </si>
  <si>
    <t>VP Social</t>
  </si>
  <si>
    <t>See attached budget.</t>
  </si>
  <si>
    <t>General office/operating expenses</t>
  </si>
  <si>
    <t>Grad Ball Loss</t>
  </si>
  <si>
    <t xml:space="preserve">Executive Assistant </t>
  </si>
  <si>
    <t xml:space="preserve">Reading Group </t>
  </si>
  <si>
    <t>Food Crawl</t>
  </si>
  <si>
    <t>Food for FMC meetings</t>
  </si>
  <si>
    <t>July 7 2015</t>
  </si>
  <si>
    <t>Frosh Revenues</t>
  </si>
  <si>
    <t>Frosh Expenses</t>
  </si>
  <si>
    <t>VP External: Sponsorships</t>
  </si>
  <si>
    <t>16.67*8 + 206.96*8</t>
  </si>
  <si>
    <t>FMC meets biweekly</t>
  </si>
  <si>
    <t>GIC Interest Revenue</t>
  </si>
  <si>
    <t xml:space="preserve">SNAX Rent </t>
  </si>
  <si>
    <t>Conservative estimate -- arrangement with SUS is that we pay them for our half of loss afterwards; looking to slash this down</t>
  </si>
  <si>
    <t xml:space="preserve">Based on past </t>
  </si>
  <si>
    <t>AUS Annual Budget</t>
  </si>
  <si>
    <t>Student Fees - Fall</t>
  </si>
  <si>
    <t>Student Fees - Winter</t>
  </si>
  <si>
    <t>FMC Supplementary Fund</t>
  </si>
  <si>
    <t>FMC Special Projects Fund</t>
  </si>
  <si>
    <t>FMC Journal Fund</t>
  </si>
  <si>
    <t>Open to all journals, but preference given to AUS affiliated journals. Can fund up to 75 copies except in rare circumstances</t>
  </si>
  <si>
    <t>Open to departments and interfaculty associations only</t>
  </si>
  <si>
    <t>Xerox Workcenter rental</t>
  </si>
  <si>
    <t>Xerox printing/copying charges</t>
  </si>
  <si>
    <t xml:space="preserve">Projection based on last year's expenses. </t>
  </si>
  <si>
    <t>Work Study payments (55 cents a hour)</t>
  </si>
  <si>
    <t>$10.55 per hour is the work study pay, $0.55 of which comes out of the AUS budget</t>
  </si>
  <si>
    <t>AUTS Expenses</t>
  </si>
  <si>
    <t>We had a $1,000 credit balance on Staples; Used up $800 on tables and office supplies</t>
  </si>
  <si>
    <t>Council Chair and Secondary Speaker Stipends</t>
  </si>
  <si>
    <t>Depends on number of meetings. $750 is based on $40 per meeting and $50 per General Assembly</t>
  </si>
  <si>
    <t>Council Chair Training</t>
  </si>
  <si>
    <t>Stipend for Training Session on Sept 5 and Serving as Parliamentarian at AUS Council Sept 9</t>
  </si>
  <si>
    <t>eg. Business cards, Council Placards, Signs for Arts Lounge</t>
  </si>
  <si>
    <t>Unchanged from last year</t>
  </si>
  <si>
    <t>Work Your BA Coords Stipends</t>
  </si>
  <si>
    <t>Stipends as recommended by HR Review</t>
  </si>
  <si>
    <t>Annual expense aproximated in fall. To be renegotiated in January</t>
  </si>
  <si>
    <t>Initial cost was $100 for 3 ballots. Additional ballots are $25 each, and we will need at least 3 more ballots (fall referendum, winter elections/referendum, and departmental elections)</t>
  </si>
  <si>
    <t xml:space="preserve"> Depends on # of election periods</t>
  </si>
  <si>
    <t>Increase of 50% from last year because one extra DRO hired</t>
  </si>
  <si>
    <t>Secretary General</t>
  </si>
  <si>
    <t>New position created this year to oversee AUS accountability and HR. Salary breakdown is $250 fixed and up to $200 based on performance (because it is a new position, exact workload is not yet known)</t>
  </si>
  <si>
    <t>$400 less than Equity Allocation last year because of potential funding from SSMU Equity Fund and because only  16.7% of allocation was used last year</t>
  </si>
  <si>
    <t>Check No.</t>
  </si>
  <si>
    <t>Amount</t>
  </si>
  <si>
    <t>Vendor Name</t>
  </si>
  <si>
    <t>Date of Check</t>
  </si>
  <si>
    <t>Memo- Details</t>
  </si>
  <si>
    <t>Class</t>
  </si>
  <si>
    <t>Notes</t>
  </si>
  <si>
    <t>McGill University</t>
  </si>
  <si>
    <t>June 19th 2015</t>
  </si>
  <si>
    <t>Phone and Line Rental Invoice</t>
  </si>
  <si>
    <t>AUS Operating</t>
  </si>
  <si>
    <t>Copie Nova</t>
  </si>
  <si>
    <t>Business Cards Printing Costs</t>
  </si>
  <si>
    <t>Xerox</t>
  </si>
  <si>
    <t>Workcentre 7232 Charges</t>
  </si>
  <si>
    <t>June 29th 2015</t>
  </si>
  <si>
    <t>July 8th  2015</t>
  </si>
  <si>
    <t>NoBad Sound Studio</t>
  </si>
  <si>
    <t>July 9th 2015</t>
  </si>
  <si>
    <t>Donation to charity from Hip Hop Week</t>
  </si>
  <si>
    <t>July 20th 2015</t>
  </si>
  <si>
    <t>Mailing charges</t>
  </si>
  <si>
    <t>Ministere du Revenu du Quebec</t>
  </si>
  <si>
    <t>July 30th 2015</t>
  </si>
  <si>
    <t>Sales tax for fiscal year 2014-15</t>
  </si>
  <si>
    <t>August 4th 2015</t>
  </si>
  <si>
    <t>August 23rd 2015</t>
  </si>
  <si>
    <t>August 29th 2015</t>
  </si>
  <si>
    <t>Willis Daellenbach</t>
  </si>
  <si>
    <t>AUS website supporting software purchase</t>
  </si>
  <si>
    <t>Hasan Nizami</t>
  </si>
  <si>
    <t>July 14th 2015</t>
  </si>
  <si>
    <t>Stipend for financial advisory - SNAX</t>
  </si>
  <si>
    <t>Mirza Shakir</t>
  </si>
  <si>
    <t>Quickbooks online charges</t>
  </si>
  <si>
    <t>Quickbooks Pro version monthly charges</t>
  </si>
  <si>
    <t>FYC cards printing costs</t>
  </si>
  <si>
    <t>August 14th 2015</t>
  </si>
  <si>
    <t>Deposit for Peel 3475 booking</t>
  </si>
  <si>
    <t>May 27th, 2015</t>
  </si>
  <si>
    <t>Funding to the Dean's Office for mailing expenses for new students</t>
  </si>
  <si>
    <t>Xerox Canada</t>
  </si>
  <si>
    <t>May 20th, 2015</t>
  </si>
  <si>
    <t>Invoice No. LR3796875</t>
  </si>
  <si>
    <t>Totals</t>
  </si>
  <si>
    <t>Summer 2015 Spending</t>
  </si>
  <si>
    <t xml:space="preserve">Phone &amp; Long distance </t>
  </si>
  <si>
    <t xml:space="preserve">Office supplies </t>
  </si>
  <si>
    <t>See attached budget</t>
  </si>
  <si>
    <t>FMC Allocation</t>
  </si>
  <si>
    <t>Peer Tutoring Grant</t>
    <phoneticPr fontId="0" type="noConversion"/>
  </si>
  <si>
    <t>Know Your Rights Committee</t>
  </si>
  <si>
    <t>AUS Internal Expenses</t>
  </si>
  <si>
    <t>Office Supplies</t>
  </si>
  <si>
    <t>Pens and key chains for Discover Mcgill + Departmental Fair 2nd Semester.</t>
  </si>
  <si>
    <t>Presidents/Finance  Roundtable</t>
  </si>
  <si>
    <t>Couches cleaning + Microwave</t>
  </si>
  <si>
    <t>Liquor permits for AUS, departmental associations, and BDA</t>
  </si>
  <si>
    <t>Pizza Navona + Drinks</t>
  </si>
  <si>
    <t>Departmental Fair</t>
  </si>
  <si>
    <t>Event of their choosing</t>
  </si>
  <si>
    <t>Still to be decided</t>
  </si>
  <si>
    <t xml:space="preserve">Handbooks (1701) </t>
  </si>
  <si>
    <t xml:space="preserve">MailChimp Subscription </t>
  </si>
  <si>
    <t>Hand Coordinator Stipends</t>
  </si>
  <si>
    <t>3 coords x $400</t>
  </si>
  <si>
    <t>Graphic Designer</t>
  </si>
  <si>
    <t>1 coord x $200 + 5 coords x $100; $10 membership for photography; 1 for photographer</t>
  </si>
  <si>
    <t>1 coord x $250 for summer + 1 coord x $750 for the year</t>
  </si>
  <si>
    <t xml:space="preserve">French translation app </t>
  </si>
  <si>
    <t>Dropbox subscription</t>
  </si>
  <si>
    <t>Website subscription renewal</t>
  </si>
  <si>
    <t>AUS Prof Talk</t>
  </si>
  <si>
    <t>$100 x 5 meetings + $100 for advertising</t>
  </si>
  <si>
    <t>Adobe Subcscriptions</t>
  </si>
  <si>
    <t xml:space="preserve">Fine Arts Council </t>
  </si>
  <si>
    <t>AUS VP Communications</t>
  </si>
  <si>
    <t>Business Activities Rental goes up each year</t>
  </si>
  <si>
    <t>Arts Attack</t>
  </si>
  <si>
    <t>Apparel</t>
  </si>
  <si>
    <t>AUS VP Social</t>
  </si>
  <si>
    <t>BDA Revenues</t>
  </si>
  <si>
    <t>BDA Expenses</t>
  </si>
  <si>
    <t>OctoberAUS</t>
  </si>
  <si>
    <t>StacheDash</t>
  </si>
  <si>
    <t>1900 in expenses and profits donated to charity</t>
  </si>
  <si>
    <t>Committees &amp; Staff</t>
  </si>
  <si>
    <t>BDA Loss</t>
  </si>
  <si>
    <t>Same cost as last year, despite there being two additional people (Arts Reps) on retreat this year and a second car needing to be rented (last year one Exec's car was used and one was rented). Breakdown is: $460 for accomodations, ?? For car rentals (from Enterprise and Global, includes cost of gas), ?? for Food</t>
  </si>
  <si>
    <t>Promotions Hannah Inc.</t>
  </si>
  <si>
    <t>August 26th, 2015</t>
  </si>
  <si>
    <t>AUS Executive Zip Hoodies</t>
  </si>
  <si>
    <t>Jacob Greenspon</t>
  </si>
  <si>
    <t>Sept 11th, 2015</t>
  </si>
  <si>
    <t>Dinner at Excomm</t>
  </si>
  <si>
    <t>Allocations</t>
  </si>
  <si>
    <t>Program Expenses</t>
  </si>
  <si>
    <t>Portfolios</t>
  </si>
  <si>
    <t>Business Activities &amp; Operating</t>
  </si>
  <si>
    <t>AUS Hoodies</t>
  </si>
  <si>
    <t>AUS Exec Meeting Dinner</t>
  </si>
  <si>
    <t>AUS Executive Retreat</t>
  </si>
  <si>
    <t>Gabriel Gilling</t>
  </si>
  <si>
    <t>Sept. 23rd, 2015</t>
  </si>
  <si>
    <t>Transportation for the AUS retreat</t>
  </si>
  <si>
    <t>Christine Koppenaal</t>
  </si>
  <si>
    <t>Elaine Patterson</t>
  </si>
  <si>
    <t>Groceries for the AUS retreat</t>
  </si>
  <si>
    <t>Sept 14th, 2015</t>
  </si>
  <si>
    <t>Exec Retreat booking</t>
  </si>
  <si>
    <t>Sept. 24th, 2015</t>
  </si>
  <si>
    <t>Transportation - Car Rental for the AUS Retreat</t>
  </si>
  <si>
    <t>Maria Vedeshkina</t>
  </si>
  <si>
    <t>Sept. 21st, 2015</t>
  </si>
  <si>
    <t>Groceries and Meals for AUS Retreat</t>
  </si>
  <si>
    <t>Retreat Total Cost</t>
  </si>
  <si>
    <t>Groceries for AUS Retreat</t>
  </si>
  <si>
    <t>Minerva Trust Fund (Student Fees)</t>
  </si>
  <si>
    <t>Portfolio Income</t>
  </si>
  <si>
    <t>GIC Savings Income</t>
  </si>
  <si>
    <t>Printer, office supplies, phone and line rental payments to McGill, sales taxes paid</t>
  </si>
  <si>
    <t>Arts Rep Allocation</t>
  </si>
  <si>
    <t>SNAX Store</t>
  </si>
  <si>
    <t>SNAX Revenues</t>
  </si>
  <si>
    <t xml:space="preserve">SNAX Expenses </t>
  </si>
  <si>
    <t>Projected to break even based on our mandate as a Non Profit</t>
  </si>
  <si>
    <t xml:space="preserve">Note that Reps can apply to numerous funding sources on campus; first time Reps have been allocated a budget </t>
  </si>
  <si>
    <t>Program Revenues(mostly in Social)</t>
  </si>
  <si>
    <t>See Social budget</t>
  </si>
  <si>
    <t>AUTS Fees - Fall+Winter</t>
  </si>
  <si>
    <t>Arts Improvement Fund Allocation Fees</t>
  </si>
  <si>
    <t>Smaller events (BDA, Gerts, Colab with VP Social) 1st semester + 1 big event with SUS 2nd semester</t>
  </si>
  <si>
    <t>Team Dinner with Grant</t>
  </si>
  <si>
    <t>Received till now</t>
  </si>
  <si>
    <t>Gradesavers</t>
  </si>
  <si>
    <t>Already received (including summer)</t>
  </si>
  <si>
    <t xml:space="preserve">From the locked $165,000 GIC (1.75% Rate) + Interest on GIC expired in June 2015 </t>
  </si>
  <si>
    <t xml:space="preserve">RESERVE FUND </t>
  </si>
  <si>
    <t>All of projected surplus goes to the reserve fund (5% of the base student fees)</t>
  </si>
  <si>
    <t>Grad Fair + Prep101, Princeton Review and Gradesavers</t>
  </si>
  <si>
    <t>BDA loss put separately on the first page of budget</t>
  </si>
  <si>
    <t>Never happened</t>
  </si>
  <si>
    <t>BDA Budgeted under VP Social Portfolio Budget</t>
  </si>
  <si>
    <t>Provide Support Service Chatline through Arts OASIS ASAPs; Paid in Usd</t>
  </si>
  <si>
    <t xml:space="preserve">Budget allocated; will apply for funding from McGill Alumni Association; Clustered in WY BA </t>
  </si>
  <si>
    <t>Bookings by non-AUS groups cost $10 per table; stored on PayPal</t>
  </si>
  <si>
    <t>SSMU Sleeman Beer for AUS Awards</t>
  </si>
  <si>
    <t>around $80 USD per month</t>
  </si>
  <si>
    <t>Used in summer</t>
  </si>
  <si>
    <t>FAC Committee Allocation from VP Comms Budget</t>
  </si>
  <si>
    <t>Original: October 21st 2015; Revision: April 3rd 2016</t>
  </si>
  <si>
    <t>Same salary as last year, however worked 1 less week this year; accounting for May salary as well</t>
  </si>
  <si>
    <t xml:space="preserve">Profit of $5,000 projected from operations that is equal to the rent we pay </t>
  </si>
  <si>
    <t>We allocate all of what we get so no surplus or deficit (not considered part of "Operating Fees"); $42,000 rollover from this year</t>
  </si>
  <si>
    <t>AUTS arranges plays that usually break even; small surplus this year</t>
  </si>
  <si>
    <t>Open to any group on campus; exhausted completely</t>
  </si>
  <si>
    <t>We allocate all of what we get so surplus or deficit; $42,000 rollover</t>
  </si>
  <si>
    <t>Table bookings + locker rentals; collected through PayPal - expected to hit projected totals</t>
  </si>
  <si>
    <t>AUTS ran a small surplus this year; This includes all ticket sales on top of allocations</t>
  </si>
  <si>
    <t>Lounge bookings; FEARC got funding from SSMU and AUS Awards got $1700 from SSMU</t>
  </si>
  <si>
    <t>See attached budget; FEARC and AUS Awards budget expanded due to external funding</t>
  </si>
  <si>
    <t>4 payments per year, $623.83 per payment; extra costs for copying and renewal of contract</t>
  </si>
  <si>
    <t>We seem to accrue about $250 per quarter; combined into above entry by Quickbooks</t>
  </si>
  <si>
    <t>From the Summer 2015 semester</t>
  </si>
  <si>
    <t>Earmarked for departments for the year. Fall + Projected allocations for Winter; see attached allocations tab</t>
  </si>
  <si>
    <t>Students in Faculty of Arts Fall 2015</t>
  </si>
  <si>
    <t>Students in Faculty of Arts Winter 2016</t>
  </si>
  <si>
    <t>% of Students in Winter 2016 of Fall 2015</t>
  </si>
  <si>
    <t>Name of Department</t>
  </si>
  <si>
    <t xml:space="preserve">Fall 2015 </t>
  </si>
  <si>
    <t xml:space="preserve">Winter 2016 </t>
  </si>
  <si>
    <t>Payment Via</t>
  </si>
  <si>
    <t>Biology (SUS)</t>
  </si>
  <si>
    <t>Cheque</t>
  </si>
  <si>
    <t>Chemistry (SUS)</t>
  </si>
  <si>
    <t>Computer Science</t>
  </si>
  <si>
    <t>English (DESA)</t>
  </si>
  <si>
    <t>Internal now</t>
  </si>
  <si>
    <t>Environment (MESS)</t>
  </si>
  <si>
    <t>Geography</t>
  </si>
  <si>
    <t>International Relations</t>
  </si>
  <si>
    <t>Mathematics</t>
  </si>
  <si>
    <t>Physics</t>
  </si>
  <si>
    <t>Political Science (PSSA)</t>
  </si>
  <si>
    <t>Pyschology</t>
  </si>
  <si>
    <t>Religious Studies (RSUS)</t>
  </si>
  <si>
    <t>BASIC</t>
  </si>
  <si>
    <t>African Studies (ASSA)</t>
  </si>
  <si>
    <t>Internal</t>
  </si>
  <si>
    <t>Anthropology (ASA)</t>
  </si>
  <si>
    <t>Arts History &amp; Comm (AHCSSA)</t>
  </si>
  <si>
    <t xml:space="preserve">Canadian Studies </t>
  </si>
  <si>
    <t>Classics (Classics)</t>
  </si>
  <si>
    <t>East Asian Studies</t>
  </si>
  <si>
    <t>Economics (ESA)</t>
  </si>
  <si>
    <t>German Studies (GSA)</t>
  </si>
  <si>
    <t>Italian Studies</t>
  </si>
  <si>
    <t>History</t>
  </si>
  <si>
    <t>Industrial Relations</t>
  </si>
  <si>
    <t>International Development</t>
  </si>
  <si>
    <t>Langue et litt francaises</t>
  </si>
  <si>
    <t>Latin American, Carribbean &amp; Hispanic</t>
  </si>
  <si>
    <t>Liberal Arts</t>
  </si>
  <si>
    <t>Middle Eastern &amp; World Islamic</t>
  </si>
  <si>
    <t>Linguistics</t>
  </si>
  <si>
    <t>North American (NASSA)</t>
  </si>
  <si>
    <t>Philosophy (PSA)</t>
  </si>
  <si>
    <t>Russian Studies (RUSS)</t>
  </si>
  <si>
    <t>Sociology (SSA)</t>
  </si>
  <si>
    <t>Women's Studies &amp; Sexual Diversity</t>
  </si>
  <si>
    <t>World Cinemas</t>
  </si>
  <si>
    <t>NOTES</t>
  </si>
  <si>
    <t xml:space="preserve">I updated all lines using Quickbooks records directly without updating each portfolio tab. </t>
  </si>
  <si>
    <t xml:space="preserve"> All allocations are internal and are equal to what were approved in the projected amounts. </t>
  </si>
  <si>
    <t>Lastly expenses and revenues that have not finalized are left at same values as projected.</t>
  </si>
  <si>
    <t>Expected Profit. Variance of ~$85,000 from 2014 - 2015.</t>
  </si>
  <si>
    <t>Final Profit comes out to $4545</t>
  </si>
  <si>
    <t>See Frosh budget; Projected $5,000-6,000 in profits, actual profit is $4545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</si>
</sst>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i/>
      <sz val="2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78"/>
      <scheme val="minor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 Unicode MS"/>
      <family val="2"/>
    </font>
    <font>
      <sz val="11"/>
      <name val="Calibri"/>
      <family val="2"/>
      <charset val="178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 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/>
    <xf numFmtId="0" fontId="1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10" fillId="0" borderId="0" xfId="0" applyFont="1"/>
    <xf numFmtId="0" fontId="10" fillId="3" borderId="0" xfId="0" applyFont="1" applyFill="1"/>
    <xf numFmtId="0" fontId="0" fillId="0" borderId="1" xfId="0" applyFont="1" applyBorder="1"/>
    <xf numFmtId="0" fontId="0" fillId="5" borderId="1" xfId="0" applyFont="1" applyFill="1" applyBorder="1"/>
    <xf numFmtId="0" fontId="0" fillId="0" borderId="1" xfId="0" applyFont="1" applyFill="1" applyBorder="1"/>
    <xf numFmtId="0" fontId="3" fillId="4" borderId="1" xfId="0" applyFont="1" applyFill="1" applyBorder="1"/>
    <xf numFmtId="0" fontId="0" fillId="4" borderId="1" xfId="0" applyFont="1" applyFill="1" applyBorder="1"/>
    <xf numFmtId="0" fontId="4" fillId="6" borderId="1" xfId="0" applyFont="1" applyFill="1" applyBorder="1"/>
    <xf numFmtId="0" fontId="3" fillId="6" borderId="1" xfId="0" applyFont="1" applyFill="1" applyBorder="1"/>
    <xf numFmtId="0" fontId="8" fillId="0" borderId="1" xfId="0" applyFont="1" applyBorder="1"/>
    <xf numFmtId="15" fontId="0" fillId="3" borderId="0" xfId="0" applyNumberFormat="1" applyFill="1"/>
    <xf numFmtId="0" fontId="8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6" fontId="2" fillId="0" borderId="1" xfId="1" applyNumberFormat="1" applyFont="1" applyBorder="1" applyAlignment="1">
      <alignment horizontal="center" vertical="center"/>
    </xf>
    <xf numFmtId="6" fontId="9" fillId="0" borderId="1" xfId="1" applyNumberFormat="1" applyFont="1" applyBorder="1" applyAlignment="1">
      <alignment horizontal="center" vertical="center"/>
    </xf>
    <xf numFmtId="44" fontId="9" fillId="0" borderId="1" xfId="1" applyNumberFormat="1" applyFont="1" applyBorder="1" applyAlignment="1">
      <alignment horizontal="center" vertical="center"/>
    </xf>
    <xf numFmtId="44" fontId="9" fillId="5" borderId="1" xfId="1" applyNumberFormat="1" applyFont="1" applyFill="1" applyBorder="1" applyAlignment="1">
      <alignment horizontal="center" vertical="center"/>
    </xf>
    <xf numFmtId="6" fontId="9" fillId="5" borderId="1" xfId="1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14" fontId="10" fillId="3" borderId="0" xfId="0" applyNumberFormat="1" applyFont="1" applyFill="1"/>
    <xf numFmtId="0" fontId="10" fillId="5" borderId="1" xfId="0" applyFont="1" applyFill="1" applyBorder="1"/>
    <xf numFmtId="44" fontId="8" fillId="5" borderId="1" xfId="1" applyFont="1" applyFill="1" applyBorder="1"/>
    <xf numFmtId="0" fontId="10" fillId="0" borderId="1" xfId="0" applyFont="1" applyBorder="1"/>
    <xf numFmtId="164" fontId="7" fillId="0" borderId="1" xfId="0" applyNumberFormat="1" applyFont="1" applyBorder="1"/>
    <xf numFmtId="0" fontId="10" fillId="0" borderId="1" xfId="0" applyFont="1" applyFill="1" applyBorder="1"/>
    <xf numFmtId="44" fontId="8" fillId="0" borderId="1" xfId="1" applyFont="1" applyBorder="1"/>
    <xf numFmtId="0" fontId="3" fillId="0" borderId="1" xfId="0" applyFont="1" applyFill="1" applyBorder="1"/>
    <xf numFmtId="0" fontId="11" fillId="0" borderId="1" xfId="0" applyFont="1" applyFill="1" applyBorder="1"/>
    <xf numFmtId="0" fontId="12" fillId="0" borderId="1" xfId="0" applyFont="1" applyBorder="1"/>
    <xf numFmtId="164" fontId="8" fillId="5" borderId="1" xfId="1" applyNumberFormat="1" applyFont="1" applyFill="1" applyBorder="1"/>
    <xf numFmtId="44" fontId="8" fillId="4" borderId="1" xfId="1" applyFont="1" applyFill="1" applyBorder="1"/>
    <xf numFmtId="0" fontId="10" fillId="4" borderId="1" xfId="0" applyFont="1" applyFill="1" applyBorder="1"/>
    <xf numFmtId="0" fontId="0" fillId="0" borderId="0" xfId="0"/>
    <xf numFmtId="0" fontId="3" fillId="3" borderId="1" xfId="0" applyFont="1" applyFill="1" applyBorder="1"/>
    <xf numFmtId="0" fontId="4" fillId="3" borderId="1" xfId="0" applyFont="1" applyFill="1" applyBorder="1"/>
    <xf numFmtId="0" fontId="7" fillId="0" borderId="1" xfId="0" applyFont="1" applyBorder="1"/>
    <xf numFmtId="44" fontId="1" fillId="0" borderId="1" xfId="2" applyFont="1" applyBorder="1"/>
    <xf numFmtId="17" fontId="0" fillId="3" borderId="0" xfId="0" applyNumberFormat="1" applyFill="1"/>
    <xf numFmtId="0" fontId="13" fillId="0" borderId="0" xfId="0" applyFont="1"/>
    <xf numFmtId="0" fontId="13" fillId="0" borderId="1" xfId="0" applyFont="1" applyBorder="1"/>
    <xf numFmtId="44" fontId="13" fillId="0" borderId="2" xfId="0" applyNumberFormat="1" applyFont="1" applyBorder="1"/>
    <xf numFmtId="0" fontId="14" fillId="0" borderId="1" xfId="0" applyFont="1" applyBorder="1"/>
    <xf numFmtId="0" fontId="14" fillId="0" borderId="1" xfId="0" applyFont="1" applyFill="1" applyBorder="1"/>
    <xf numFmtId="44" fontId="1" fillId="0" borderId="0" xfId="2" applyFont="1" applyBorder="1"/>
    <xf numFmtId="0" fontId="13" fillId="0" borderId="2" xfId="0" applyFont="1" applyBorder="1"/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0" fillId="3" borderId="0" xfId="0" applyFill="1"/>
    <xf numFmtId="0" fontId="0" fillId="4" borderId="1" xfId="0" applyFill="1" applyBorder="1"/>
    <xf numFmtId="0" fontId="0" fillId="5" borderId="1" xfId="0" applyFill="1" applyBorder="1"/>
    <xf numFmtId="0" fontId="6" fillId="3" borderId="0" xfId="0" applyFont="1" applyFill="1"/>
    <xf numFmtId="0" fontId="5" fillId="3" borderId="0" xfId="0" applyFont="1" applyFill="1"/>
    <xf numFmtId="0" fontId="0" fillId="0" borderId="1" xfId="0" applyBorder="1"/>
    <xf numFmtId="0" fontId="0" fillId="0" borderId="1" xfId="0" applyFill="1" applyBorder="1"/>
    <xf numFmtId="0" fontId="4" fillId="4" borderId="1" xfId="0" applyFont="1" applyFill="1" applyBorder="1"/>
    <xf numFmtId="44" fontId="1" fillId="0" borderId="1" xfId="2" applyFont="1" applyBorder="1"/>
    <xf numFmtId="44" fontId="1" fillId="5" borderId="1" xfId="2" applyFont="1" applyFill="1" applyBorder="1"/>
    <xf numFmtId="44" fontId="1" fillId="4" borderId="1" xfId="2" applyFont="1" applyFill="1" applyBorder="1"/>
    <xf numFmtId="0" fontId="4" fillId="8" borderId="1" xfId="0" applyFont="1" applyFill="1" applyBorder="1"/>
    <xf numFmtId="0" fontId="3" fillId="8" borderId="1" xfId="0" applyFont="1" applyFill="1" applyBorder="1"/>
    <xf numFmtId="44" fontId="9" fillId="4" borderId="1" xfId="1" applyFont="1" applyFill="1" applyBorder="1"/>
    <xf numFmtId="0" fontId="17" fillId="0" borderId="1" xfId="0" applyFont="1" applyBorder="1"/>
    <xf numFmtId="44" fontId="9" fillId="5" borderId="1" xfId="1" applyFont="1" applyFill="1" applyBorder="1"/>
    <xf numFmtId="44" fontId="9" fillId="0" borderId="1" xfId="1" applyFont="1" applyBorder="1"/>
    <xf numFmtId="0" fontId="15" fillId="0" borderId="0" xfId="3"/>
    <xf numFmtId="44" fontId="0" fillId="0" borderId="1" xfId="2" applyFont="1" applyBorder="1"/>
    <xf numFmtId="44" fontId="1" fillId="0" borderId="1" xfId="1" applyFont="1" applyBorder="1"/>
    <xf numFmtId="44" fontId="0" fillId="0" borderId="0" xfId="0" applyNumberFormat="1"/>
    <xf numFmtId="8" fontId="0" fillId="0" borderId="1" xfId="0" applyNumberFormat="1" applyBorder="1"/>
    <xf numFmtId="44" fontId="1" fillId="7" borderId="1" xfId="1" applyFont="1" applyFill="1" applyBorder="1"/>
    <xf numFmtId="44" fontId="1" fillId="7" borderId="1" xfId="2" applyFont="1" applyFill="1" applyBorder="1"/>
    <xf numFmtId="44" fontId="18" fillId="7" borderId="1" xfId="2" applyFont="1" applyFill="1" applyBorder="1"/>
    <xf numFmtId="6" fontId="9" fillId="0" borderId="1" xfId="1" applyNumberFormat="1" applyFont="1" applyFill="1" applyBorder="1" applyAlignment="1">
      <alignment horizontal="center" vertical="center"/>
    </xf>
    <xf numFmtId="44" fontId="9" fillId="0" borderId="1" xfId="1" applyNumberFormat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0" borderId="1" xfId="0" applyFont="1" applyBorder="1"/>
    <xf numFmtId="44" fontId="0" fillId="7" borderId="1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2" fillId="0" borderId="1" xfId="0" applyFont="1" applyFill="1" applyBorder="1"/>
    <xf numFmtId="44" fontId="9" fillId="5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2" fillId="0" borderId="0" xfId="0" applyFont="1"/>
    <xf numFmtId="44" fontId="2" fillId="0" borderId="0" xfId="0" applyNumberFormat="1" applyFont="1"/>
    <xf numFmtId="44" fontId="8" fillId="0" borderId="1" xfId="1" applyFont="1" applyFill="1" applyBorder="1"/>
    <xf numFmtId="0" fontId="0" fillId="9" borderId="0" xfId="0" applyFill="1"/>
    <xf numFmtId="0" fontId="19" fillId="0" borderId="1" xfId="0" applyFont="1" applyFill="1" applyBorder="1"/>
    <xf numFmtId="44" fontId="0" fillId="0" borderId="0" xfId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44" fontId="0" fillId="9" borderId="0" xfId="1" applyFont="1" applyFill="1" applyAlignment="1">
      <alignment horizontal="center"/>
    </xf>
    <xf numFmtId="0" fontId="21" fillId="0" borderId="0" xfId="0" applyFont="1" applyAlignment="1">
      <alignment horizontal="center"/>
    </xf>
    <xf numFmtId="44" fontId="0" fillId="0" borderId="0" xfId="0" applyNumberFormat="1" applyFill="1" applyAlignment="1">
      <alignment horizontal="right"/>
    </xf>
    <xf numFmtId="0" fontId="20" fillId="10" borderId="1" xfId="0" applyFont="1" applyFill="1" applyBorder="1"/>
    <xf numFmtId="0" fontId="21" fillId="10" borderId="1" xfId="0" applyFont="1" applyFill="1" applyBorder="1"/>
    <xf numFmtId="0" fontId="20" fillId="11" borderId="1" xfId="0" applyFont="1" applyFill="1" applyBorder="1"/>
    <xf numFmtId="0" fontId="21" fillId="11" borderId="1" xfId="0" applyFont="1" applyFill="1" applyBorder="1"/>
    <xf numFmtId="44" fontId="2" fillId="4" borderId="1" xfId="2" applyFont="1" applyFill="1" applyBorder="1"/>
    <xf numFmtId="0" fontId="2" fillId="12" borderId="0" xfId="0" applyFont="1" applyFill="1"/>
    <xf numFmtId="44" fontId="2" fillId="12" borderId="0" xfId="0" applyNumberFormat="1" applyFont="1" applyFill="1"/>
    <xf numFmtId="44" fontId="0" fillId="3" borderId="0" xfId="1" applyFont="1" applyFill="1"/>
    <xf numFmtId="44" fontId="0" fillId="0" borderId="0" xfId="1" applyFont="1"/>
    <xf numFmtId="44" fontId="3" fillId="3" borderId="1" xfId="1" applyFont="1" applyFill="1" applyBorder="1"/>
    <xf numFmtId="44" fontId="9" fillId="0" borderId="1" xfId="1" applyFont="1" applyBorder="1" applyAlignment="1">
      <alignment horizontal="center" vertical="center"/>
    </xf>
    <xf numFmtId="44" fontId="9" fillId="0" borderId="1" xfId="1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3" fillId="6" borderId="1" xfId="1" applyFont="1" applyFill="1" applyBorder="1" applyAlignment="1">
      <alignment horizontal="center" vertical="center"/>
    </xf>
    <xf numFmtId="44" fontId="9" fillId="7" borderId="1" xfId="1" applyFont="1" applyFill="1" applyBorder="1" applyAlignment="1">
      <alignment horizontal="center" vertical="center"/>
    </xf>
    <xf numFmtId="44" fontId="2" fillId="7" borderId="1" xfId="1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/>
    </xf>
    <xf numFmtId="44" fontId="0" fillId="0" borderId="1" xfId="1" applyFont="1" applyBorder="1"/>
    <xf numFmtId="44" fontId="0" fillId="0" borderId="1" xfId="1" applyFont="1" applyFill="1" applyBorder="1"/>
    <xf numFmtId="44" fontId="9" fillId="4" borderId="1" xfId="1" applyFont="1" applyFill="1" applyBorder="1" applyAlignment="1">
      <alignment horizontal="center" vertical="center"/>
    </xf>
    <xf numFmtId="44" fontId="1" fillId="9" borderId="1" xfId="2" applyFont="1" applyFill="1" applyBorder="1"/>
    <xf numFmtId="43" fontId="2" fillId="0" borderId="0" xfId="5" applyFont="1"/>
    <xf numFmtId="9" fontId="2" fillId="0" borderId="0" xfId="6" applyFont="1"/>
    <xf numFmtId="0" fontId="22" fillId="0" borderId="0" xfId="0" applyFont="1" applyAlignment="1"/>
    <xf numFmtId="0" fontId="2" fillId="3" borderId="0" xfId="0" applyFont="1" applyFill="1"/>
    <xf numFmtId="0" fontId="0" fillId="6" borderId="0" xfId="0" applyFill="1"/>
    <xf numFmtId="44" fontId="2" fillId="13" borderId="1" xfId="2" applyFont="1" applyFill="1" applyBorder="1"/>
    <xf numFmtId="44" fontId="0" fillId="4" borderId="1" xfId="0" applyNumberFormat="1" applyFill="1" applyBorder="1"/>
  </cellXfs>
  <cellStyles count="7">
    <cellStyle name="Comma" xfId="5" builtinId="3"/>
    <cellStyle name="Currency" xfId="1" builtinId="4"/>
    <cellStyle name="Currency 2" xfId="2"/>
    <cellStyle name="Normal" xfId="0" builtinId="0"/>
    <cellStyle name="Normal 2" xfId="3"/>
    <cellStyle name="Percent" xfId="6" builtinId="5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="90" zoomScaleNormal="90" zoomScalePageLayoutView="90" workbookViewId="0">
      <selection activeCell="A3" sqref="A3:XFD4"/>
    </sheetView>
  </sheetViews>
  <sheetFormatPr baseColWidth="10" defaultColWidth="8.83203125" defaultRowHeight="15" x14ac:dyDescent="0.2"/>
  <cols>
    <col min="1" max="1" width="40.83203125" customWidth="1"/>
    <col min="2" max="2" width="17.6640625" customWidth="1"/>
    <col min="3" max="3" width="19.33203125" customWidth="1"/>
    <col min="4" max="4" width="18.1640625" customWidth="1"/>
    <col min="5" max="5" width="80" customWidth="1"/>
    <col min="6" max="6" width="10.5" bestFit="1" customWidth="1"/>
  </cols>
  <sheetData>
    <row r="1" spans="1:7" ht="26" x14ac:dyDescent="0.3">
      <c r="A1" s="57" t="s">
        <v>0</v>
      </c>
      <c r="B1" s="54"/>
      <c r="C1" s="54"/>
      <c r="D1" s="54"/>
      <c r="E1" s="54"/>
      <c r="F1" s="51"/>
      <c r="G1" s="51"/>
    </row>
    <row r="2" spans="1:7" ht="26" x14ac:dyDescent="0.3">
      <c r="A2" s="58" t="s">
        <v>1</v>
      </c>
      <c r="B2" s="54"/>
      <c r="C2" s="54"/>
      <c r="D2" s="54"/>
      <c r="E2" s="130" t="s">
        <v>352</v>
      </c>
      <c r="F2" s="51"/>
      <c r="G2" s="51"/>
    </row>
    <row r="3" spans="1:7" x14ac:dyDescent="0.2">
      <c r="A3" s="54" t="s">
        <v>111</v>
      </c>
      <c r="B3" s="54"/>
      <c r="C3" s="54"/>
      <c r="D3" s="54"/>
      <c r="E3" s="54" t="s">
        <v>353</v>
      </c>
      <c r="F3" s="51"/>
      <c r="G3" s="51"/>
    </row>
    <row r="4" spans="1:7" x14ac:dyDescent="0.2">
      <c r="A4" s="43" t="s">
        <v>291</v>
      </c>
      <c r="B4" s="54"/>
      <c r="C4" s="54"/>
      <c r="D4" s="54"/>
      <c r="E4" s="54" t="s">
        <v>354</v>
      </c>
      <c r="F4" s="51"/>
      <c r="G4" s="51"/>
    </row>
    <row r="5" spans="1:7" x14ac:dyDescent="0.2">
      <c r="A5" s="51"/>
      <c r="B5" s="51"/>
      <c r="C5" s="51"/>
      <c r="D5" s="51"/>
      <c r="E5" s="131" t="s">
        <v>355</v>
      </c>
      <c r="F5" s="51"/>
      <c r="G5" s="51"/>
    </row>
    <row r="6" spans="1:7" ht="21" x14ac:dyDescent="0.25">
      <c r="A6" s="40" t="s">
        <v>3</v>
      </c>
      <c r="B6" s="51"/>
      <c r="C6" s="51"/>
      <c r="D6" s="51"/>
      <c r="E6" s="51"/>
      <c r="F6" s="51"/>
      <c r="G6" s="51"/>
    </row>
    <row r="7" spans="1:7" x14ac:dyDescent="0.2">
      <c r="A7" s="39" t="s">
        <v>4</v>
      </c>
      <c r="B7" s="39" t="s">
        <v>5</v>
      </c>
      <c r="C7" s="39" t="s">
        <v>6</v>
      </c>
      <c r="D7" s="39" t="s">
        <v>7</v>
      </c>
      <c r="E7" s="39" t="s">
        <v>8</v>
      </c>
      <c r="F7" s="51"/>
      <c r="G7" s="51"/>
    </row>
    <row r="8" spans="1:7" x14ac:dyDescent="0.2">
      <c r="A8" s="106" t="s">
        <v>258</v>
      </c>
      <c r="B8" s="32"/>
      <c r="C8" s="95">
        <f>6346.82</f>
        <v>6346.82</v>
      </c>
      <c r="D8" s="32"/>
      <c r="E8" s="12" t="s">
        <v>304</v>
      </c>
      <c r="F8" s="51"/>
      <c r="G8" s="51"/>
    </row>
    <row r="9" spans="1:7" x14ac:dyDescent="0.2">
      <c r="A9" s="59" t="s">
        <v>112</v>
      </c>
      <c r="B9" s="70">
        <v>105937.55</v>
      </c>
      <c r="C9" s="70">
        <v>105937.55</v>
      </c>
      <c r="D9" s="62">
        <f>C9-B9</f>
        <v>0</v>
      </c>
      <c r="E9" s="59" t="s">
        <v>276</v>
      </c>
      <c r="F9" s="74"/>
      <c r="G9" s="51"/>
    </row>
    <row r="10" spans="1:7" x14ac:dyDescent="0.2">
      <c r="A10" s="59" t="s">
        <v>113</v>
      </c>
      <c r="B10" s="70">
        <v>86000</v>
      </c>
      <c r="C10" s="70">
        <v>87917.89</v>
      </c>
      <c r="D10" s="62">
        <f t="shared" ref="D10:D27" si="0">C10-B10</f>
        <v>1917.8899999999994</v>
      </c>
      <c r="E10" s="59" t="s">
        <v>110</v>
      </c>
      <c r="F10" s="74"/>
      <c r="G10" s="51"/>
    </row>
    <row r="11" spans="1:7" s="51" customFormat="1" x14ac:dyDescent="0.2">
      <c r="A11" s="59" t="s">
        <v>270</v>
      </c>
      <c r="B11" s="70">
        <v>13000</v>
      </c>
      <c r="C11" s="70">
        <f>16000+20296.93</f>
        <v>36296.93</v>
      </c>
      <c r="D11" s="62">
        <f t="shared" si="0"/>
        <v>23296.93</v>
      </c>
      <c r="E11" s="59" t="s">
        <v>299</v>
      </c>
    </row>
    <row r="12" spans="1:7" s="51" customFormat="1" x14ac:dyDescent="0.2">
      <c r="A12" s="59" t="s">
        <v>271</v>
      </c>
      <c r="B12" s="70">
        <v>200000</v>
      </c>
      <c r="C12" s="70">
        <v>167000</v>
      </c>
      <c r="D12" s="62">
        <f t="shared" si="0"/>
        <v>-33000</v>
      </c>
      <c r="E12" s="59" t="s">
        <v>294</v>
      </c>
    </row>
    <row r="13" spans="1:7" s="51" customFormat="1" x14ac:dyDescent="0.2">
      <c r="A13" s="107" t="s">
        <v>259</v>
      </c>
      <c r="B13" s="70"/>
      <c r="C13" s="70"/>
      <c r="D13" s="62">
        <f t="shared" si="0"/>
        <v>0</v>
      </c>
      <c r="E13" s="59"/>
    </row>
    <row r="14" spans="1:7" s="51" customFormat="1" x14ac:dyDescent="0.2">
      <c r="A14" s="59" t="s">
        <v>86</v>
      </c>
      <c r="B14" s="62">
        <f>1900+4700</f>
        <v>6600</v>
      </c>
      <c r="C14" s="62">
        <v>6600</v>
      </c>
      <c r="D14" s="62">
        <f t="shared" si="0"/>
        <v>0</v>
      </c>
      <c r="E14" s="59" t="s">
        <v>298</v>
      </c>
    </row>
    <row r="15" spans="1:7" x14ac:dyDescent="0.2">
      <c r="A15" s="59" t="s">
        <v>87</v>
      </c>
      <c r="B15" s="62">
        <v>0</v>
      </c>
      <c r="C15" s="62"/>
      <c r="D15" s="62">
        <f t="shared" si="0"/>
        <v>0</v>
      </c>
      <c r="E15" s="59"/>
      <c r="F15" s="51"/>
      <c r="G15" s="51"/>
    </row>
    <row r="16" spans="1:7" s="51" customFormat="1" x14ac:dyDescent="0.2">
      <c r="A16" s="59" t="s">
        <v>88</v>
      </c>
      <c r="B16" s="62">
        <v>500</v>
      </c>
      <c r="C16" s="62">
        <f>4793.9+1700</f>
        <v>6493.9</v>
      </c>
      <c r="D16" s="62">
        <f t="shared" si="0"/>
        <v>5993.9</v>
      </c>
      <c r="E16" s="59" t="s">
        <v>300</v>
      </c>
    </row>
    <row r="17" spans="1:7" x14ac:dyDescent="0.2">
      <c r="A17" s="59" t="s">
        <v>89</v>
      </c>
      <c r="B17" s="62">
        <v>0</v>
      </c>
      <c r="C17" s="62"/>
      <c r="D17" s="62">
        <f t="shared" si="0"/>
        <v>0</v>
      </c>
      <c r="E17" s="59"/>
      <c r="F17" s="51"/>
      <c r="G17" s="51"/>
    </row>
    <row r="18" spans="1:7" x14ac:dyDescent="0.2">
      <c r="A18" s="59" t="s">
        <v>104</v>
      </c>
      <c r="B18" s="77">
        <f>'VP External'!B12</f>
        <v>26500</v>
      </c>
      <c r="C18" s="62">
        <f>27014.51</f>
        <v>27014.51</v>
      </c>
      <c r="D18" s="62">
        <f t="shared" si="0"/>
        <v>514.5099999999984</v>
      </c>
      <c r="E18" s="59" t="s">
        <v>280</v>
      </c>
      <c r="F18" s="51"/>
      <c r="G18" s="51"/>
    </row>
    <row r="19" spans="1:7" s="51" customFormat="1" x14ac:dyDescent="0.2">
      <c r="A19" s="59" t="s">
        <v>91</v>
      </c>
      <c r="B19" s="62">
        <v>0</v>
      </c>
      <c r="C19" s="62"/>
      <c r="D19" s="62">
        <f t="shared" si="0"/>
        <v>0</v>
      </c>
      <c r="E19" s="59"/>
    </row>
    <row r="20" spans="1:7" x14ac:dyDescent="0.2">
      <c r="A20" s="59" t="s">
        <v>93</v>
      </c>
      <c r="B20" s="77">
        <f>'VP Social'!B16</f>
        <v>50960</v>
      </c>
      <c r="C20" s="62">
        <v>37597.56</v>
      </c>
      <c r="D20" s="62">
        <f t="shared" si="0"/>
        <v>-13362.440000000002</v>
      </c>
      <c r="E20" s="59" t="s">
        <v>269</v>
      </c>
      <c r="F20" s="51"/>
      <c r="G20" s="51"/>
    </row>
    <row r="21" spans="1:7" x14ac:dyDescent="0.2">
      <c r="A21" s="107" t="s">
        <v>268</v>
      </c>
      <c r="B21" s="77"/>
      <c r="C21" s="62"/>
      <c r="D21" s="62">
        <f t="shared" si="0"/>
        <v>0</v>
      </c>
      <c r="E21" s="59"/>
      <c r="F21" s="51"/>
      <c r="G21" s="51"/>
    </row>
    <row r="22" spans="1:7" x14ac:dyDescent="0.2">
      <c r="A22" s="59" t="s">
        <v>102</v>
      </c>
      <c r="B22" s="77">
        <v>218000</v>
      </c>
      <c r="C22" s="62">
        <v>224646.89</v>
      </c>
      <c r="D22" s="62">
        <f t="shared" si="0"/>
        <v>6646.890000000014</v>
      </c>
      <c r="E22" s="75" t="s">
        <v>358</v>
      </c>
      <c r="F22" s="51"/>
      <c r="G22" s="51"/>
    </row>
    <row r="23" spans="1:7" x14ac:dyDescent="0.2">
      <c r="A23" s="107" t="s">
        <v>260</v>
      </c>
      <c r="B23" s="77"/>
      <c r="C23" s="62"/>
      <c r="D23" s="62">
        <f t="shared" si="0"/>
        <v>0</v>
      </c>
      <c r="E23" s="59"/>
      <c r="F23" s="51"/>
      <c r="G23" s="51"/>
    </row>
    <row r="24" spans="1:7" x14ac:dyDescent="0.2">
      <c r="A24" s="59" t="s">
        <v>107</v>
      </c>
      <c r="B24" s="62">
        <v>3500</v>
      </c>
      <c r="C24" s="62">
        <f>401+1.75%*165000</f>
        <v>3288.5000000000005</v>
      </c>
      <c r="D24" s="62">
        <f t="shared" si="0"/>
        <v>-211.49999999999955</v>
      </c>
      <c r="E24" s="59" t="s">
        <v>277</v>
      </c>
      <c r="F24" s="51"/>
      <c r="G24" s="51"/>
    </row>
    <row r="25" spans="1:7" x14ac:dyDescent="0.2">
      <c r="A25" s="107" t="s">
        <v>263</v>
      </c>
      <c r="B25" s="62"/>
      <c r="C25" s="62"/>
      <c r="D25" s="62">
        <f t="shared" si="0"/>
        <v>0</v>
      </c>
      <c r="E25" s="59"/>
      <c r="F25" s="51"/>
      <c r="G25" s="51"/>
    </row>
    <row r="26" spans="1:7" x14ac:dyDescent="0.2">
      <c r="A26" s="59" t="s">
        <v>264</v>
      </c>
      <c r="B26" s="62">
        <v>175000</v>
      </c>
      <c r="C26" s="62">
        <v>175000</v>
      </c>
      <c r="D26" s="62">
        <f t="shared" si="0"/>
        <v>0</v>
      </c>
      <c r="E26" s="59" t="s">
        <v>293</v>
      </c>
      <c r="F26" s="51"/>
      <c r="G26" s="51"/>
    </row>
    <row r="27" spans="1:7" x14ac:dyDescent="0.2">
      <c r="A27" s="56" t="s">
        <v>9</v>
      </c>
      <c r="B27" s="63">
        <f>SUM(B9:B26)</f>
        <v>885997.55</v>
      </c>
      <c r="C27" s="63">
        <f>SUM(C8:C26)</f>
        <v>884140.55</v>
      </c>
      <c r="D27" s="126">
        <f t="shared" si="0"/>
        <v>-1857</v>
      </c>
      <c r="E27" s="56"/>
      <c r="F27" s="51"/>
      <c r="G27" s="51"/>
    </row>
    <row r="28" spans="1:7" x14ac:dyDescent="0.2">
      <c r="A28" s="41"/>
      <c r="B28" s="41"/>
      <c r="C28" s="41"/>
      <c r="D28" s="41"/>
      <c r="E28" s="41"/>
      <c r="F28" s="51"/>
      <c r="G28" s="51"/>
    </row>
    <row r="29" spans="1:7" ht="21" x14ac:dyDescent="0.25">
      <c r="A29" s="53" t="s">
        <v>10</v>
      </c>
      <c r="B29" s="60"/>
      <c r="C29" s="60"/>
      <c r="D29" s="60"/>
      <c r="E29" s="60"/>
      <c r="F29" s="44"/>
      <c r="G29" s="51"/>
    </row>
    <row r="30" spans="1:7" x14ac:dyDescent="0.2">
      <c r="A30" s="52" t="s">
        <v>4</v>
      </c>
      <c r="B30" s="52" t="s">
        <v>5</v>
      </c>
      <c r="C30" s="52" t="s">
        <v>6</v>
      </c>
      <c r="D30" s="52" t="s">
        <v>7</v>
      </c>
      <c r="E30" s="52" t="s">
        <v>8</v>
      </c>
      <c r="F30" s="51"/>
      <c r="G30" s="51"/>
    </row>
    <row r="31" spans="1:7" x14ac:dyDescent="0.2">
      <c r="A31" s="108" t="s">
        <v>236</v>
      </c>
      <c r="B31" s="32"/>
      <c r="C31" s="32"/>
      <c r="D31" s="32"/>
      <c r="E31" s="32"/>
      <c r="F31" s="51"/>
      <c r="G31" s="51"/>
    </row>
    <row r="32" spans="1:7" s="51" customFormat="1" x14ac:dyDescent="0.2">
      <c r="A32" s="59" t="s">
        <v>92</v>
      </c>
      <c r="B32" s="62">
        <v>34000</v>
      </c>
      <c r="C32" s="62">
        <v>34489.379999999997</v>
      </c>
      <c r="D32" s="62">
        <f>B32-C32</f>
        <v>-489.37999999999738</v>
      </c>
      <c r="E32" s="59" t="s">
        <v>305</v>
      </c>
    </row>
    <row r="33" spans="1:7" s="51" customFormat="1" x14ac:dyDescent="0.2">
      <c r="A33" s="59" t="s">
        <v>116</v>
      </c>
      <c r="B33" s="62">
        <v>16000</v>
      </c>
      <c r="C33" s="62">
        <v>16000</v>
      </c>
      <c r="D33" s="62">
        <f t="shared" ref="D33:D58" si="1">B33-C33</f>
        <v>0</v>
      </c>
      <c r="E33" s="59" t="s">
        <v>117</v>
      </c>
    </row>
    <row r="34" spans="1:7" s="51" customFormat="1" x14ac:dyDescent="0.2">
      <c r="A34" s="59" t="s">
        <v>114</v>
      </c>
      <c r="B34" s="62">
        <v>16000</v>
      </c>
      <c r="C34" s="62">
        <v>16000</v>
      </c>
      <c r="D34" s="62">
        <f t="shared" si="1"/>
        <v>0</v>
      </c>
      <c r="E34" s="59" t="s">
        <v>118</v>
      </c>
    </row>
    <row r="35" spans="1:7" s="51" customFormat="1" x14ac:dyDescent="0.2">
      <c r="A35" s="59" t="s">
        <v>115</v>
      </c>
      <c r="B35" s="62">
        <v>10000</v>
      </c>
      <c r="C35" s="62">
        <v>10000</v>
      </c>
      <c r="D35" s="62">
        <f t="shared" si="1"/>
        <v>0</v>
      </c>
      <c r="E35" s="59" t="s">
        <v>296</v>
      </c>
    </row>
    <row r="36" spans="1:7" s="51" customFormat="1" x14ac:dyDescent="0.2">
      <c r="A36" s="59" t="s">
        <v>97</v>
      </c>
      <c r="B36" s="62">
        <v>24000</v>
      </c>
      <c r="C36" s="62">
        <v>25500</v>
      </c>
      <c r="D36" s="62">
        <f t="shared" si="1"/>
        <v>-1500</v>
      </c>
      <c r="E36" s="59" t="s">
        <v>292</v>
      </c>
    </row>
    <row r="37" spans="1:7" s="51" customFormat="1" x14ac:dyDescent="0.2">
      <c r="A37" s="59" t="s">
        <v>271</v>
      </c>
      <c r="B37" s="70">
        <v>200000</v>
      </c>
      <c r="C37" s="70">
        <v>167000</v>
      </c>
      <c r="D37" s="62">
        <f t="shared" si="1"/>
        <v>33000</v>
      </c>
      <c r="E37" s="59" t="s">
        <v>297</v>
      </c>
    </row>
    <row r="38" spans="1:7" s="51" customFormat="1" x14ac:dyDescent="0.2">
      <c r="A38" s="109" t="s">
        <v>237</v>
      </c>
      <c r="B38" s="62"/>
      <c r="C38" s="62"/>
      <c r="D38" s="62">
        <f t="shared" si="1"/>
        <v>0</v>
      </c>
      <c r="E38" s="59"/>
    </row>
    <row r="39" spans="1:7" s="51" customFormat="1" x14ac:dyDescent="0.2">
      <c r="A39" s="59" t="s">
        <v>103</v>
      </c>
      <c r="B39" s="77">
        <v>212000</v>
      </c>
      <c r="C39" s="62">
        <f>C22-4545.02</f>
        <v>220101.87000000002</v>
      </c>
      <c r="D39" s="62">
        <f t="shared" si="1"/>
        <v>-8101.8700000000244</v>
      </c>
      <c r="E39" s="59" t="s">
        <v>357</v>
      </c>
    </row>
    <row r="40" spans="1:7" x14ac:dyDescent="0.2">
      <c r="A40" s="59" t="s">
        <v>124</v>
      </c>
      <c r="B40" s="62">
        <v>13000</v>
      </c>
      <c r="C40" s="62">
        <f>712.41+33704</f>
        <v>34416.410000000003</v>
      </c>
      <c r="D40" s="62">
        <f t="shared" si="1"/>
        <v>-21416.410000000003</v>
      </c>
      <c r="E40" s="59" t="s">
        <v>295</v>
      </c>
      <c r="F40" s="51"/>
      <c r="G40" s="51"/>
    </row>
    <row r="41" spans="1:7" x14ac:dyDescent="0.2">
      <c r="A41" s="59" t="s">
        <v>96</v>
      </c>
      <c r="B41" s="62">
        <v>14000</v>
      </c>
      <c r="C41" s="62">
        <v>14000</v>
      </c>
      <c r="D41" s="62">
        <f t="shared" si="1"/>
        <v>0</v>
      </c>
      <c r="E41" s="59" t="s">
        <v>109</v>
      </c>
      <c r="F41" s="51"/>
      <c r="G41" s="51"/>
    </row>
    <row r="42" spans="1:7" x14ac:dyDescent="0.2">
      <c r="A42" s="59" t="s">
        <v>228</v>
      </c>
      <c r="B42" s="76">
        <v>4000</v>
      </c>
      <c r="C42" s="62">
        <v>4000</v>
      </c>
      <c r="D42" s="62">
        <f t="shared" si="1"/>
        <v>0</v>
      </c>
      <c r="E42" s="59" t="s">
        <v>283</v>
      </c>
      <c r="F42" s="51"/>
      <c r="G42" s="51"/>
    </row>
    <row r="43" spans="1:7" x14ac:dyDescent="0.2">
      <c r="A43" s="109" t="s">
        <v>238</v>
      </c>
      <c r="B43" s="62"/>
      <c r="C43" s="62"/>
      <c r="D43" s="62">
        <f t="shared" si="1"/>
        <v>0</v>
      </c>
      <c r="E43" s="59"/>
      <c r="F43" s="51"/>
      <c r="G43" s="51"/>
    </row>
    <row r="44" spans="1:7" x14ac:dyDescent="0.2">
      <c r="A44" s="59" t="s">
        <v>13</v>
      </c>
      <c r="B44" s="62">
        <f>President!B47</f>
        <v>18561</v>
      </c>
      <c r="C44" s="62">
        <f>8849.43+440.08+1134.84+9000</f>
        <v>19424.349999999999</v>
      </c>
      <c r="D44" s="62">
        <f t="shared" si="1"/>
        <v>-863.34999999999854</v>
      </c>
      <c r="E44" s="59" t="s">
        <v>94</v>
      </c>
      <c r="F44" s="51"/>
      <c r="G44" s="51"/>
    </row>
    <row r="45" spans="1:7" x14ac:dyDescent="0.2">
      <c r="A45" s="59" t="s">
        <v>87</v>
      </c>
      <c r="B45" s="72">
        <f>'VP Finance'!B23</f>
        <v>23605.040000000001</v>
      </c>
      <c r="C45" s="62">
        <v>24195.09</v>
      </c>
      <c r="D45" s="62">
        <f t="shared" si="1"/>
        <v>-590.04999999999927</v>
      </c>
      <c r="E45" s="59" t="s">
        <v>94</v>
      </c>
    </row>
    <row r="46" spans="1:7" x14ac:dyDescent="0.2">
      <c r="A46" s="59" t="s">
        <v>88</v>
      </c>
      <c r="B46" s="62">
        <f>'VP Internal'!B37</f>
        <v>12261</v>
      </c>
      <c r="C46" s="62">
        <f>8911.46+1023.22+8600</f>
        <v>18534.68</v>
      </c>
      <c r="D46" s="62">
        <f t="shared" si="1"/>
        <v>-6273.68</v>
      </c>
      <c r="E46" s="59" t="s">
        <v>301</v>
      </c>
    </row>
    <row r="47" spans="1:7" x14ac:dyDescent="0.2">
      <c r="A47" s="45" t="s">
        <v>89</v>
      </c>
      <c r="B47" s="46">
        <v>11000</v>
      </c>
      <c r="C47" s="46">
        <f>4712.74+2000</f>
        <v>6712.74</v>
      </c>
      <c r="D47" s="62">
        <f t="shared" si="1"/>
        <v>4287.26</v>
      </c>
      <c r="E47" s="50" t="s">
        <v>94</v>
      </c>
    </row>
    <row r="48" spans="1:7" x14ac:dyDescent="0.2">
      <c r="A48" s="59" t="s">
        <v>90</v>
      </c>
      <c r="B48" s="62">
        <f>'VP External'!B23</f>
        <v>5810</v>
      </c>
      <c r="C48" s="62">
        <f>2496.14+68.83</f>
        <v>2564.9699999999998</v>
      </c>
      <c r="D48" s="62">
        <f t="shared" si="1"/>
        <v>3245.03</v>
      </c>
      <c r="E48" s="59" t="s">
        <v>94</v>
      </c>
    </row>
    <row r="49" spans="1:5" x14ac:dyDescent="0.2">
      <c r="A49" s="59" t="s">
        <v>91</v>
      </c>
      <c r="B49" s="62">
        <f>'VP Communications'!B37</f>
        <v>21025.519999999997</v>
      </c>
      <c r="C49" s="62">
        <f>-'VP Communications'!C39</f>
        <v>18371.519999999997</v>
      </c>
      <c r="D49" s="62">
        <f t="shared" si="1"/>
        <v>2654</v>
      </c>
      <c r="E49" s="59" t="s">
        <v>94</v>
      </c>
    </row>
    <row r="50" spans="1:5" x14ac:dyDescent="0.2">
      <c r="A50" s="59" t="s">
        <v>93</v>
      </c>
      <c r="B50" s="78">
        <f>'VP Social'!B37</f>
        <v>51152.229999999996</v>
      </c>
      <c r="C50" s="62">
        <f>113357.58-15324-69349.33+13175.68</f>
        <v>41859.93</v>
      </c>
      <c r="D50" s="62">
        <f t="shared" si="1"/>
        <v>9292.2999999999956</v>
      </c>
      <c r="E50" s="59" t="s">
        <v>94</v>
      </c>
    </row>
    <row r="51" spans="1:5" x14ac:dyDescent="0.2">
      <c r="A51" s="59" t="s">
        <v>262</v>
      </c>
      <c r="B51" s="78">
        <v>500</v>
      </c>
      <c r="C51" s="62">
        <v>500</v>
      </c>
      <c r="D51" s="62">
        <f t="shared" si="1"/>
        <v>0</v>
      </c>
      <c r="E51" s="59" t="s">
        <v>267</v>
      </c>
    </row>
    <row r="52" spans="1:5" x14ac:dyDescent="0.2">
      <c r="A52" s="109" t="s">
        <v>239</v>
      </c>
      <c r="B52" s="78"/>
      <c r="C52" s="62"/>
      <c r="D52" s="62">
        <f t="shared" si="1"/>
        <v>0</v>
      </c>
      <c r="E52" s="59"/>
    </row>
    <row r="53" spans="1:5" x14ac:dyDescent="0.2">
      <c r="A53" s="59" t="s">
        <v>108</v>
      </c>
      <c r="B53" s="62">
        <v>5000</v>
      </c>
      <c r="C53" s="62">
        <v>5000</v>
      </c>
      <c r="D53" s="62">
        <f t="shared" si="1"/>
        <v>0</v>
      </c>
      <c r="E53" s="59" t="s">
        <v>218</v>
      </c>
    </row>
    <row r="54" spans="1:5" x14ac:dyDescent="0.2">
      <c r="A54" s="59" t="s">
        <v>95</v>
      </c>
      <c r="B54" s="62">
        <f>'Office Expenses'!B26</f>
        <v>12939.68</v>
      </c>
      <c r="C54" s="62">
        <f>'Office Expenses'!C26</f>
        <v>13095.745999999999</v>
      </c>
      <c r="D54" s="62">
        <f t="shared" si="1"/>
        <v>-156.06599999999889</v>
      </c>
      <c r="E54" s="59" t="s">
        <v>261</v>
      </c>
    </row>
    <row r="55" spans="1:5" x14ac:dyDescent="0.2">
      <c r="A55" s="59" t="s">
        <v>122</v>
      </c>
      <c r="B55" s="62">
        <f>1600*0.55 + 850*0.55</f>
        <v>1347.5000000000002</v>
      </c>
      <c r="C55" s="62">
        <f>0.55*2500</f>
        <v>1375</v>
      </c>
      <c r="D55" s="62">
        <f t="shared" si="1"/>
        <v>-27.499999999999773</v>
      </c>
      <c r="E55" s="59" t="s">
        <v>123</v>
      </c>
    </row>
    <row r="56" spans="1:5" x14ac:dyDescent="0.2">
      <c r="A56" s="109" t="s">
        <v>263</v>
      </c>
      <c r="B56" s="62"/>
      <c r="C56" s="62"/>
      <c r="D56" s="62">
        <f t="shared" si="1"/>
        <v>0</v>
      </c>
      <c r="E56" s="59"/>
    </row>
    <row r="57" spans="1:5" x14ac:dyDescent="0.2">
      <c r="A57" s="59" t="s">
        <v>265</v>
      </c>
      <c r="B57" s="62">
        <v>170000</v>
      </c>
      <c r="C57" s="62">
        <v>170000</v>
      </c>
      <c r="D57" s="62">
        <f t="shared" si="1"/>
        <v>0</v>
      </c>
      <c r="E57" s="59" t="s">
        <v>266</v>
      </c>
    </row>
    <row r="58" spans="1:5" x14ac:dyDescent="0.2">
      <c r="A58" s="56" t="s">
        <v>11</v>
      </c>
      <c r="B58" s="63">
        <f>SUM(B32:B57)</f>
        <v>876201.97000000009</v>
      </c>
      <c r="C58" s="63">
        <f>SUM(C32:C57)</f>
        <v>863141.6860000001</v>
      </c>
      <c r="D58" s="126">
        <f t="shared" si="1"/>
        <v>13060.283999999985</v>
      </c>
      <c r="E58" s="56"/>
    </row>
    <row r="59" spans="1:5" x14ac:dyDescent="0.2">
      <c r="A59" s="59"/>
      <c r="B59" s="59"/>
      <c r="C59" s="59"/>
      <c r="D59" s="59"/>
      <c r="E59" s="59"/>
    </row>
    <row r="60" spans="1:5" ht="21" x14ac:dyDescent="0.25">
      <c r="A60" s="61" t="s">
        <v>12</v>
      </c>
      <c r="B60" s="110">
        <f xml:space="preserve"> B27-B58</f>
        <v>9795.5799999999581</v>
      </c>
      <c r="C60" s="132">
        <f>C27-C58</f>
        <v>20998.863999999943</v>
      </c>
      <c r="D60" s="133">
        <f>B60-C60</f>
        <v>-11203.283999999985</v>
      </c>
      <c r="E60" s="55" t="s">
        <v>356</v>
      </c>
    </row>
    <row r="61" spans="1:5" x14ac:dyDescent="0.2">
      <c r="A61" s="51"/>
      <c r="B61" s="51"/>
      <c r="C61" s="51"/>
      <c r="D61" s="51"/>
      <c r="E61" s="51"/>
    </row>
    <row r="62" spans="1:5" x14ac:dyDescent="0.2">
      <c r="A62" s="111" t="s">
        <v>278</v>
      </c>
      <c r="B62" s="112">
        <f>B60</f>
        <v>9795.5799999999581</v>
      </c>
      <c r="C62" s="111"/>
      <c r="D62" s="111"/>
      <c r="E62" s="111" t="s">
        <v>279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30" sqref="E30"/>
    </sheetView>
  </sheetViews>
  <sheetFormatPr baseColWidth="10" defaultColWidth="8.83203125" defaultRowHeight="15" x14ac:dyDescent="0.2"/>
  <cols>
    <col min="1" max="1" width="18.1640625" customWidth="1"/>
    <col min="2" max="2" width="20.1640625" customWidth="1"/>
    <col min="3" max="3" width="32.5" customWidth="1"/>
    <col min="4" max="4" width="25.5" customWidth="1"/>
    <col min="5" max="5" width="44.83203125" customWidth="1"/>
    <col min="6" max="6" width="35.5" customWidth="1"/>
  </cols>
  <sheetData>
    <row r="1" spans="1:7" x14ac:dyDescent="0.2">
      <c r="A1" s="89" t="s">
        <v>141</v>
      </c>
      <c r="B1" s="90" t="s">
        <v>142</v>
      </c>
      <c r="C1" s="89" t="s">
        <v>143</v>
      </c>
      <c r="D1" s="89" t="s">
        <v>144</v>
      </c>
      <c r="E1" s="89" t="s">
        <v>145</v>
      </c>
      <c r="F1" s="89" t="s">
        <v>146</v>
      </c>
      <c r="G1" s="89" t="s">
        <v>147</v>
      </c>
    </row>
    <row r="2" spans="1:7" x14ac:dyDescent="0.2">
      <c r="A2" s="91">
        <v>8010</v>
      </c>
      <c r="B2" s="98">
        <v>100.49</v>
      </c>
      <c r="C2" s="91" t="s">
        <v>148</v>
      </c>
      <c r="D2" s="91" t="s">
        <v>149</v>
      </c>
      <c r="E2" s="91" t="s">
        <v>150</v>
      </c>
      <c r="F2" s="91" t="s">
        <v>151</v>
      </c>
      <c r="G2" s="51"/>
    </row>
    <row r="3" spans="1:7" x14ac:dyDescent="0.2">
      <c r="A3" s="91">
        <v>8011</v>
      </c>
      <c r="B3" s="98">
        <v>70.36</v>
      </c>
      <c r="C3" s="91" t="s">
        <v>152</v>
      </c>
      <c r="D3" s="91" t="s">
        <v>149</v>
      </c>
      <c r="E3" s="91" t="s">
        <v>153</v>
      </c>
      <c r="F3" s="91" t="s">
        <v>151</v>
      </c>
      <c r="G3" s="51"/>
    </row>
    <row r="4" spans="1:7" x14ac:dyDescent="0.2">
      <c r="A4" s="91">
        <v>8012</v>
      </c>
      <c r="B4" s="98">
        <v>205.03</v>
      </c>
      <c r="C4" s="91" t="s">
        <v>154</v>
      </c>
      <c r="D4" s="91" t="s">
        <v>149</v>
      </c>
      <c r="E4" s="91" t="s">
        <v>155</v>
      </c>
      <c r="F4" s="91" t="s">
        <v>151</v>
      </c>
      <c r="G4" s="51"/>
    </row>
    <row r="5" spans="1:7" x14ac:dyDescent="0.2">
      <c r="A5" s="91">
        <v>8016</v>
      </c>
      <c r="B5" s="98">
        <v>23.11</v>
      </c>
      <c r="C5" s="91" t="s">
        <v>152</v>
      </c>
      <c r="D5" s="91" t="s">
        <v>156</v>
      </c>
      <c r="E5" s="91" t="s">
        <v>153</v>
      </c>
      <c r="F5" s="91" t="s">
        <v>151</v>
      </c>
      <c r="G5" s="51"/>
    </row>
    <row r="6" spans="1:7" x14ac:dyDescent="0.2">
      <c r="A6" s="91">
        <f t="shared" ref="A6:A18" si="0">A5+1</f>
        <v>8017</v>
      </c>
      <c r="B6" s="98">
        <v>102.05</v>
      </c>
      <c r="C6" s="91" t="s">
        <v>148</v>
      </c>
      <c r="D6" s="91" t="s">
        <v>157</v>
      </c>
      <c r="E6" s="91" t="s">
        <v>150</v>
      </c>
      <c r="F6" s="91" t="s">
        <v>151</v>
      </c>
      <c r="G6" s="51"/>
    </row>
    <row r="7" spans="1:7" x14ac:dyDescent="0.2">
      <c r="A7" s="91">
        <f t="shared" si="0"/>
        <v>8018</v>
      </c>
      <c r="B7" s="98">
        <v>527.47</v>
      </c>
      <c r="C7" s="91" t="s">
        <v>158</v>
      </c>
      <c r="D7" s="91" t="s">
        <v>159</v>
      </c>
      <c r="E7" s="91" t="s">
        <v>160</v>
      </c>
      <c r="F7" s="91" t="s">
        <v>151</v>
      </c>
      <c r="G7" s="51"/>
    </row>
    <row r="8" spans="1:7" x14ac:dyDescent="0.2">
      <c r="A8" s="91">
        <f t="shared" si="0"/>
        <v>8019</v>
      </c>
      <c r="B8" s="98">
        <v>8.8699999999999992</v>
      </c>
      <c r="C8" s="91" t="s">
        <v>148</v>
      </c>
      <c r="D8" s="91" t="s">
        <v>161</v>
      </c>
      <c r="E8" s="91" t="s">
        <v>162</v>
      </c>
      <c r="F8" s="91" t="s">
        <v>151</v>
      </c>
      <c r="G8" s="51"/>
    </row>
    <row r="9" spans="1:7" x14ac:dyDescent="0.2">
      <c r="A9" s="102">
        <f t="shared" si="0"/>
        <v>8020</v>
      </c>
      <c r="B9" s="103">
        <v>2444.9499999999998</v>
      </c>
      <c r="C9" s="102" t="s">
        <v>163</v>
      </c>
      <c r="D9" s="102" t="s">
        <v>164</v>
      </c>
      <c r="E9" s="102" t="s">
        <v>165</v>
      </c>
      <c r="F9" s="102" t="s">
        <v>151</v>
      </c>
      <c r="G9" s="51"/>
    </row>
    <row r="10" spans="1:7" x14ac:dyDescent="0.2">
      <c r="A10" s="91">
        <f t="shared" si="0"/>
        <v>8021</v>
      </c>
      <c r="B10" s="98">
        <v>101.93</v>
      </c>
      <c r="C10" s="91" t="s">
        <v>148</v>
      </c>
      <c r="D10" s="91" t="s">
        <v>166</v>
      </c>
      <c r="E10" s="91" t="s">
        <v>150</v>
      </c>
      <c r="F10" s="91" t="s">
        <v>151</v>
      </c>
      <c r="G10" s="51"/>
    </row>
    <row r="11" spans="1:7" x14ac:dyDescent="0.2">
      <c r="A11" s="91">
        <f t="shared" si="0"/>
        <v>8022</v>
      </c>
      <c r="B11" s="98">
        <v>623.83000000000004</v>
      </c>
      <c r="C11" s="91" t="s">
        <v>154</v>
      </c>
      <c r="D11" s="91" t="s">
        <v>167</v>
      </c>
      <c r="E11" s="91" t="s">
        <v>155</v>
      </c>
      <c r="F11" s="91" t="s">
        <v>151</v>
      </c>
      <c r="G11" s="51"/>
    </row>
    <row r="12" spans="1:7" x14ac:dyDescent="0.2">
      <c r="A12" s="91">
        <f t="shared" si="0"/>
        <v>8023</v>
      </c>
      <c r="B12" s="98">
        <v>102.05</v>
      </c>
      <c r="C12" s="91" t="s">
        <v>148</v>
      </c>
      <c r="D12" s="91" t="s">
        <v>168</v>
      </c>
      <c r="E12" s="91" t="s">
        <v>150</v>
      </c>
      <c r="F12" s="91" t="s">
        <v>151</v>
      </c>
      <c r="G12" s="51"/>
    </row>
    <row r="13" spans="1:7" x14ac:dyDescent="0.2">
      <c r="A13" s="91">
        <f t="shared" si="0"/>
        <v>8024</v>
      </c>
      <c r="B13" s="98">
        <v>105.96</v>
      </c>
      <c r="C13" s="91" t="s">
        <v>169</v>
      </c>
      <c r="D13" s="91" t="s">
        <v>164</v>
      </c>
      <c r="E13" s="91" t="s">
        <v>170</v>
      </c>
      <c r="F13" s="91" t="s">
        <v>91</v>
      </c>
      <c r="G13" s="51"/>
    </row>
    <row r="14" spans="1:7" x14ac:dyDescent="0.2">
      <c r="A14" s="91">
        <f t="shared" si="0"/>
        <v>8025</v>
      </c>
      <c r="B14" s="98">
        <v>500</v>
      </c>
      <c r="C14" s="91" t="s">
        <v>171</v>
      </c>
      <c r="D14" s="91" t="s">
        <v>172</v>
      </c>
      <c r="E14" s="91" t="s">
        <v>173</v>
      </c>
      <c r="F14" s="91" t="s">
        <v>87</v>
      </c>
      <c r="G14" s="51"/>
    </row>
    <row r="15" spans="1:7" x14ac:dyDescent="0.2">
      <c r="A15" s="91">
        <f t="shared" si="0"/>
        <v>8026</v>
      </c>
      <c r="B15" s="98">
        <v>16.670000000000002</v>
      </c>
      <c r="C15" s="91" t="s">
        <v>174</v>
      </c>
      <c r="D15" s="91" t="s">
        <v>166</v>
      </c>
      <c r="E15" s="91" t="s">
        <v>175</v>
      </c>
      <c r="F15" s="91" t="s">
        <v>87</v>
      </c>
      <c r="G15" s="51"/>
    </row>
    <row r="16" spans="1:7" x14ac:dyDescent="0.2">
      <c r="A16" s="91">
        <f t="shared" si="0"/>
        <v>8027</v>
      </c>
      <c r="B16" s="98">
        <v>206.96</v>
      </c>
      <c r="C16" s="91" t="s">
        <v>174</v>
      </c>
      <c r="D16" s="91" t="s">
        <v>166</v>
      </c>
      <c r="E16" s="91" t="s">
        <v>176</v>
      </c>
      <c r="F16" s="91" t="s">
        <v>87</v>
      </c>
      <c r="G16" s="51"/>
    </row>
    <row r="17" spans="1:7" x14ac:dyDescent="0.2">
      <c r="A17" s="91">
        <f t="shared" si="0"/>
        <v>8028</v>
      </c>
      <c r="B17" s="98">
        <v>152.71</v>
      </c>
      <c r="C17" s="91" t="s">
        <v>152</v>
      </c>
      <c r="D17" s="91" t="s">
        <v>157</v>
      </c>
      <c r="E17" s="91" t="s">
        <v>177</v>
      </c>
      <c r="F17" s="91" t="s">
        <v>88</v>
      </c>
      <c r="G17" s="51"/>
    </row>
    <row r="18" spans="1:7" x14ac:dyDescent="0.2">
      <c r="A18" s="91">
        <f t="shared" si="0"/>
        <v>8029</v>
      </c>
      <c r="B18" s="98">
        <v>25</v>
      </c>
      <c r="C18" s="91" t="s">
        <v>148</v>
      </c>
      <c r="D18" s="91" t="s">
        <v>178</v>
      </c>
      <c r="E18" s="91" t="s">
        <v>179</v>
      </c>
      <c r="F18" s="91" t="s">
        <v>88</v>
      </c>
      <c r="G18" s="51"/>
    </row>
    <row r="19" spans="1:7" x14ac:dyDescent="0.2">
      <c r="A19" s="91">
        <v>7995</v>
      </c>
      <c r="B19" s="92">
        <v>1500</v>
      </c>
      <c r="C19" s="91" t="s">
        <v>148</v>
      </c>
      <c r="D19" s="91" t="s">
        <v>180</v>
      </c>
      <c r="E19" s="91" t="s">
        <v>181</v>
      </c>
      <c r="F19" s="99" t="s">
        <v>151</v>
      </c>
      <c r="G19" s="51"/>
    </row>
    <row r="20" spans="1:7" x14ac:dyDescent="0.2">
      <c r="A20" s="91">
        <v>7987</v>
      </c>
      <c r="B20" s="92">
        <v>623.83000000000004</v>
      </c>
      <c r="C20" s="91" t="s">
        <v>182</v>
      </c>
      <c r="D20" s="91" t="s">
        <v>183</v>
      </c>
      <c r="E20" s="91" t="s">
        <v>184</v>
      </c>
      <c r="F20" s="99" t="s">
        <v>151</v>
      </c>
      <c r="G20" s="51"/>
    </row>
    <row r="21" spans="1:7" x14ac:dyDescent="0.2">
      <c r="A21" s="101">
        <v>8075</v>
      </c>
      <c r="B21" s="100">
        <v>657.66</v>
      </c>
      <c r="C21" s="101" t="s">
        <v>230</v>
      </c>
      <c r="D21" s="101" t="s">
        <v>231</v>
      </c>
      <c r="E21" s="101" t="s">
        <v>232</v>
      </c>
      <c r="F21" s="101" t="s">
        <v>91</v>
      </c>
      <c r="G21" s="51"/>
    </row>
    <row r="22" spans="1:7" x14ac:dyDescent="0.2">
      <c r="A22" s="101">
        <f t="shared" ref="A22" si="1">A19+1</f>
        <v>7996</v>
      </c>
      <c r="B22" s="74">
        <v>83.22</v>
      </c>
      <c r="C22" s="101" t="s">
        <v>233</v>
      </c>
      <c r="D22" s="101" t="s">
        <v>234</v>
      </c>
      <c r="E22" s="101" t="s">
        <v>235</v>
      </c>
      <c r="F22" s="101" t="s">
        <v>13</v>
      </c>
      <c r="G22" s="51"/>
    </row>
    <row r="23" spans="1:7" x14ac:dyDescent="0.2">
      <c r="A23" s="101"/>
      <c r="B23" s="100"/>
    </row>
    <row r="24" spans="1:7" x14ac:dyDescent="0.2">
      <c r="A24" s="93" t="s">
        <v>185</v>
      </c>
      <c r="B24" s="94">
        <f>SUM(B2:B22)</f>
        <v>8182.1500000000005</v>
      </c>
      <c r="C24" s="89"/>
      <c r="D24" s="89"/>
      <c r="E24" s="89"/>
      <c r="F24" s="89"/>
    </row>
    <row r="26" spans="1:7" x14ac:dyDescent="0.2">
      <c r="A26" s="89"/>
      <c r="B26" s="9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30" sqref="E30"/>
    </sheetView>
  </sheetViews>
  <sheetFormatPr baseColWidth="10" defaultColWidth="8.83203125" defaultRowHeight="15" x14ac:dyDescent="0.2"/>
  <cols>
    <col min="1" max="1" width="16" customWidth="1"/>
    <col min="2" max="2" width="19.83203125" customWidth="1"/>
    <col min="3" max="3" width="38.1640625" customWidth="1"/>
    <col min="4" max="4" width="23.33203125" customWidth="1"/>
    <col min="5" max="5" width="49.1640625" customWidth="1"/>
    <col min="6" max="6" width="37.33203125" customWidth="1"/>
  </cols>
  <sheetData>
    <row r="1" spans="1:6" x14ac:dyDescent="0.2">
      <c r="A1" s="89" t="s">
        <v>141</v>
      </c>
      <c r="B1" s="90" t="s">
        <v>142</v>
      </c>
      <c r="C1" s="89" t="s">
        <v>143</v>
      </c>
      <c r="D1" s="89" t="s">
        <v>144</v>
      </c>
      <c r="E1" s="89" t="s">
        <v>145</v>
      </c>
      <c r="F1" s="89" t="s">
        <v>146</v>
      </c>
    </row>
    <row r="2" spans="1:6" x14ac:dyDescent="0.2">
      <c r="C2" s="104" t="s">
        <v>240</v>
      </c>
    </row>
    <row r="3" spans="1:6" x14ac:dyDescent="0.2">
      <c r="A3" s="101">
        <v>8075</v>
      </c>
      <c r="B3" s="100">
        <v>657.66</v>
      </c>
      <c r="C3" s="101" t="s">
        <v>230</v>
      </c>
      <c r="D3" s="101" t="s">
        <v>231</v>
      </c>
      <c r="E3" s="101" t="s">
        <v>232</v>
      </c>
      <c r="F3" s="101" t="s">
        <v>91</v>
      </c>
    </row>
    <row r="4" spans="1:6" x14ac:dyDescent="0.2">
      <c r="A4" s="101"/>
      <c r="B4" s="100"/>
      <c r="C4" s="101"/>
      <c r="D4" s="101"/>
      <c r="E4" s="101"/>
      <c r="F4" s="101"/>
    </row>
    <row r="5" spans="1:6" x14ac:dyDescent="0.2">
      <c r="A5" s="101"/>
      <c r="B5" s="100"/>
      <c r="C5" s="104" t="s">
        <v>241</v>
      </c>
      <c r="D5" s="101"/>
      <c r="E5" s="101"/>
      <c r="F5" s="101"/>
    </row>
    <row r="6" spans="1:6" x14ac:dyDescent="0.2">
      <c r="A6" s="101">
        <f t="shared" ref="A6" si="0">A3+1</f>
        <v>8076</v>
      </c>
      <c r="B6" s="74">
        <v>83.22</v>
      </c>
      <c r="C6" s="101" t="s">
        <v>233</v>
      </c>
      <c r="D6" s="101" t="s">
        <v>234</v>
      </c>
      <c r="E6" s="101" t="s">
        <v>235</v>
      </c>
      <c r="F6" s="101" t="s">
        <v>13</v>
      </c>
    </row>
    <row r="8" spans="1:6" x14ac:dyDescent="0.2">
      <c r="C8" s="104" t="s">
        <v>242</v>
      </c>
    </row>
    <row r="9" spans="1:6" x14ac:dyDescent="0.2">
      <c r="A9" s="91">
        <v>8126</v>
      </c>
      <c r="B9" s="105">
        <v>460</v>
      </c>
      <c r="C9" s="91" t="s">
        <v>233</v>
      </c>
      <c r="D9" s="91" t="s">
        <v>249</v>
      </c>
      <c r="E9" s="91" t="s">
        <v>250</v>
      </c>
      <c r="F9" s="91" t="s">
        <v>13</v>
      </c>
    </row>
    <row r="10" spans="1:6" x14ac:dyDescent="0.2">
      <c r="A10" s="101">
        <v>8151</v>
      </c>
      <c r="B10" s="74">
        <v>53.47</v>
      </c>
      <c r="C10" s="101" t="s">
        <v>243</v>
      </c>
      <c r="D10" s="101" t="s">
        <v>244</v>
      </c>
      <c r="E10" s="101" t="s">
        <v>245</v>
      </c>
      <c r="F10" s="101" t="s">
        <v>13</v>
      </c>
    </row>
    <row r="11" spans="1:6" x14ac:dyDescent="0.2">
      <c r="A11" s="101">
        <f t="shared" ref="A11:A12" si="1">A10+1</f>
        <v>8152</v>
      </c>
      <c r="B11" s="74">
        <v>219.64</v>
      </c>
      <c r="C11" s="101" t="s">
        <v>246</v>
      </c>
      <c r="D11" s="101" t="s">
        <v>244</v>
      </c>
      <c r="E11" s="101" t="s">
        <v>245</v>
      </c>
      <c r="F11" s="101" t="s">
        <v>13</v>
      </c>
    </row>
    <row r="12" spans="1:6" x14ac:dyDescent="0.2">
      <c r="A12" s="101">
        <f t="shared" si="1"/>
        <v>8153</v>
      </c>
      <c r="B12" s="74">
        <v>140.54</v>
      </c>
      <c r="C12" s="101" t="s">
        <v>247</v>
      </c>
      <c r="D12" s="101" t="s">
        <v>244</v>
      </c>
      <c r="E12" s="101" t="s">
        <v>248</v>
      </c>
      <c r="F12" s="101" t="s">
        <v>13</v>
      </c>
    </row>
    <row r="13" spans="1:6" x14ac:dyDescent="0.2">
      <c r="A13" s="101">
        <v>8156</v>
      </c>
      <c r="B13" s="74">
        <v>72.05</v>
      </c>
      <c r="C13" s="101" t="s">
        <v>233</v>
      </c>
      <c r="D13" s="101" t="s">
        <v>251</v>
      </c>
      <c r="E13" s="101" t="s">
        <v>252</v>
      </c>
      <c r="F13" s="101" t="s">
        <v>13</v>
      </c>
    </row>
    <row r="14" spans="1:6" x14ac:dyDescent="0.2">
      <c r="A14" s="101">
        <v>8146</v>
      </c>
      <c r="B14" s="74">
        <v>136.6</v>
      </c>
      <c r="C14" s="101" t="s">
        <v>253</v>
      </c>
      <c r="D14" s="101" t="s">
        <v>254</v>
      </c>
      <c r="E14" s="101" t="s">
        <v>255</v>
      </c>
      <c r="F14" s="101" t="s">
        <v>13</v>
      </c>
    </row>
    <row r="15" spans="1:6" x14ac:dyDescent="0.2">
      <c r="A15" s="101">
        <f t="shared" ref="A15" si="2">A14+1</f>
        <v>8147</v>
      </c>
      <c r="B15" s="74">
        <v>173.92</v>
      </c>
      <c r="C15" s="101" t="s">
        <v>174</v>
      </c>
      <c r="D15" s="101" t="s">
        <v>254</v>
      </c>
      <c r="E15" s="101" t="s">
        <v>257</v>
      </c>
      <c r="F15" s="101" t="s">
        <v>13</v>
      </c>
    </row>
    <row r="16" spans="1:6" x14ac:dyDescent="0.2">
      <c r="B16" s="94">
        <f>SUM(B9:B15)</f>
        <v>1256.22</v>
      </c>
      <c r="C16" s="89" t="s">
        <v>256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2" workbookViewId="0">
      <selection activeCell="D46" sqref="D46"/>
    </sheetView>
  </sheetViews>
  <sheetFormatPr baseColWidth="10" defaultColWidth="8.83203125" defaultRowHeight="15" x14ac:dyDescent="0.2"/>
  <cols>
    <col min="1" max="1" width="34.6640625" customWidth="1"/>
    <col min="2" max="3" width="17.5" customWidth="1"/>
    <col min="4" max="4" width="32.33203125" customWidth="1"/>
  </cols>
  <sheetData>
    <row r="1" spans="1:4" x14ac:dyDescent="0.2">
      <c r="A1" s="51"/>
      <c r="B1" s="51"/>
      <c r="C1" s="51"/>
      <c r="D1" s="101"/>
    </row>
    <row r="2" spans="1:4" x14ac:dyDescent="0.2">
      <c r="A2" s="93" t="s">
        <v>306</v>
      </c>
      <c r="B2" s="127">
        <v>7702</v>
      </c>
      <c r="C2" s="51"/>
      <c r="D2" s="101"/>
    </row>
    <row r="3" spans="1:4" x14ac:dyDescent="0.2">
      <c r="A3" s="93" t="s">
        <v>307</v>
      </c>
      <c r="B3" s="127">
        <v>7189</v>
      </c>
      <c r="C3" s="51"/>
      <c r="D3" s="101"/>
    </row>
    <row r="4" spans="1:4" x14ac:dyDescent="0.2">
      <c r="A4" s="93" t="s">
        <v>308</v>
      </c>
      <c r="B4" s="128">
        <f>B3/B2</f>
        <v>0.93339392365619323</v>
      </c>
      <c r="C4" s="51"/>
      <c r="D4" s="101"/>
    </row>
    <row r="5" spans="1:4" x14ac:dyDescent="0.2">
      <c r="A5" s="51"/>
      <c r="B5" s="51"/>
      <c r="C5" s="51"/>
      <c r="D5" s="101"/>
    </row>
    <row r="6" spans="1:4" x14ac:dyDescent="0.2">
      <c r="A6" s="51"/>
      <c r="B6" s="51"/>
      <c r="C6" s="51"/>
      <c r="D6" s="101"/>
    </row>
    <row r="7" spans="1:4" x14ac:dyDescent="0.2">
      <c r="A7" s="89" t="s">
        <v>309</v>
      </c>
      <c r="B7" s="89" t="s">
        <v>310</v>
      </c>
      <c r="C7" s="89" t="s">
        <v>311</v>
      </c>
      <c r="D7" s="89" t="s">
        <v>312</v>
      </c>
    </row>
    <row r="8" spans="1:4" x14ac:dyDescent="0.2">
      <c r="A8" s="51" t="s">
        <v>313</v>
      </c>
      <c r="B8" s="100">
        <v>100.35</v>
      </c>
      <c r="C8" s="100">
        <v>93.666080238898985</v>
      </c>
      <c r="D8" s="101" t="s">
        <v>314</v>
      </c>
    </row>
    <row r="9" spans="1:4" x14ac:dyDescent="0.2">
      <c r="A9" s="51" t="s">
        <v>315</v>
      </c>
      <c r="B9" s="100">
        <v>29.7</v>
      </c>
      <c r="C9" s="100">
        <v>27.721799532588939</v>
      </c>
      <c r="D9" s="101" t="s">
        <v>314</v>
      </c>
    </row>
    <row r="10" spans="1:4" x14ac:dyDescent="0.2">
      <c r="A10" s="51" t="s">
        <v>316</v>
      </c>
      <c r="B10" s="100">
        <v>310.5</v>
      </c>
      <c r="C10" s="100">
        <v>289.81881329524799</v>
      </c>
      <c r="D10" s="101" t="s">
        <v>314</v>
      </c>
    </row>
    <row r="11" spans="1:4" x14ac:dyDescent="0.2">
      <c r="A11" s="51" t="s">
        <v>317</v>
      </c>
      <c r="B11" s="100">
        <v>951.30000000000007</v>
      </c>
      <c r="C11" s="100">
        <v>887.93763957413671</v>
      </c>
      <c r="D11" s="101" t="s">
        <v>318</v>
      </c>
    </row>
    <row r="12" spans="1:4" x14ac:dyDescent="0.2">
      <c r="A12" s="51" t="s">
        <v>319</v>
      </c>
      <c r="B12" s="100">
        <v>290.70000000000005</v>
      </c>
      <c r="C12" s="100">
        <v>271.33761360685543</v>
      </c>
      <c r="D12" s="101" t="s">
        <v>314</v>
      </c>
    </row>
    <row r="13" spans="1:4" x14ac:dyDescent="0.2">
      <c r="A13" s="51" t="s">
        <v>320</v>
      </c>
      <c r="B13" s="100">
        <v>258.3</v>
      </c>
      <c r="C13" s="100">
        <v>241.09565048039471</v>
      </c>
      <c r="D13" s="101" t="s">
        <v>314</v>
      </c>
    </row>
    <row r="14" spans="1:4" x14ac:dyDescent="0.2">
      <c r="A14" s="51" t="s">
        <v>321</v>
      </c>
      <c r="B14" s="100">
        <v>319.5</v>
      </c>
      <c r="C14" s="100">
        <v>298.21935860815375</v>
      </c>
      <c r="D14" s="101" t="s">
        <v>314</v>
      </c>
    </row>
    <row r="15" spans="1:4" x14ac:dyDescent="0.2">
      <c r="A15" s="51" t="s">
        <v>322</v>
      </c>
      <c r="B15" s="100">
        <v>304.20000000000005</v>
      </c>
      <c r="C15" s="100">
        <v>283.93843157621404</v>
      </c>
      <c r="D15" s="101" t="s">
        <v>314</v>
      </c>
    </row>
    <row r="16" spans="1:4" x14ac:dyDescent="0.2">
      <c r="A16" s="51" t="s">
        <v>323</v>
      </c>
      <c r="B16" s="100">
        <v>12.6</v>
      </c>
      <c r="C16" s="100">
        <v>11.760763438068034</v>
      </c>
      <c r="D16" s="101" t="s">
        <v>314</v>
      </c>
    </row>
    <row r="17" spans="1:4" x14ac:dyDescent="0.2">
      <c r="A17" s="51" t="s">
        <v>324</v>
      </c>
      <c r="B17" s="100">
        <v>2040.3</v>
      </c>
      <c r="C17" s="100">
        <v>1904.403622435731</v>
      </c>
      <c r="D17" s="101" t="s">
        <v>314</v>
      </c>
    </row>
    <row r="18" spans="1:4" x14ac:dyDescent="0.2">
      <c r="A18" s="51" t="s">
        <v>325</v>
      </c>
      <c r="B18" s="100">
        <v>1762.65</v>
      </c>
      <c r="C18" s="100">
        <v>1645.246799532589</v>
      </c>
      <c r="D18" s="101" t="s">
        <v>314</v>
      </c>
    </row>
    <row r="19" spans="1:4" x14ac:dyDescent="0.2">
      <c r="A19" s="51" t="s">
        <v>326</v>
      </c>
      <c r="B19" s="100">
        <v>250</v>
      </c>
      <c r="C19" s="100">
        <v>250</v>
      </c>
      <c r="D19" s="101" t="s">
        <v>314</v>
      </c>
    </row>
    <row r="20" spans="1:4" x14ac:dyDescent="0.2">
      <c r="A20" s="51" t="s">
        <v>327</v>
      </c>
      <c r="B20" s="100">
        <v>841.05000000000007</v>
      </c>
      <c r="C20" s="100">
        <v>785.03095949104136</v>
      </c>
      <c r="D20" s="101" t="s">
        <v>314</v>
      </c>
    </row>
    <row r="21" spans="1:4" x14ac:dyDescent="0.2">
      <c r="A21" s="51" t="s">
        <v>328</v>
      </c>
      <c r="B21" s="100">
        <v>250</v>
      </c>
      <c r="C21" s="100">
        <v>250</v>
      </c>
      <c r="D21" s="101" t="s">
        <v>329</v>
      </c>
    </row>
    <row r="22" spans="1:4" x14ac:dyDescent="0.2">
      <c r="A22" s="51" t="s">
        <v>330</v>
      </c>
      <c r="B22" s="100">
        <v>473.40000000000009</v>
      </c>
      <c r="C22" s="100">
        <v>441.86868345884199</v>
      </c>
      <c r="D22" s="101" t="s">
        <v>329</v>
      </c>
    </row>
    <row r="23" spans="1:4" x14ac:dyDescent="0.2">
      <c r="A23" s="51" t="s">
        <v>331</v>
      </c>
      <c r="B23" s="100">
        <v>703.80000000000007</v>
      </c>
      <c r="C23" s="100">
        <v>656.92264346922889</v>
      </c>
      <c r="D23" s="101" t="s">
        <v>329</v>
      </c>
    </row>
    <row r="24" spans="1:4" x14ac:dyDescent="0.2">
      <c r="A24" s="51" t="s">
        <v>332</v>
      </c>
      <c r="B24" s="100">
        <v>250</v>
      </c>
      <c r="C24" s="100">
        <v>250</v>
      </c>
      <c r="D24" s="101" t="s">
        <v>329</v>
      </c>
    </row>
    <row r="25" spans="1:4" x14ac:dyDescent="0.2">
      <c r="A25" s="51" t="s">
        <v>333</v>
      </c>
      <c r="B25" s="100">
        <v>250</v>
      </c>
      <c r="C25" s="100">
        <v>250</v>
      </c>
      <c r="D25" s="101" t="s">
        <v>329</v>
      </c>
    </row>
    <row r="26" spans="1:4" x14ac:dyDescent="0.2">
      <c r="A26" s="51" t="s">
        <v>334</v>
      </c>
      <c r="B26" s="100">
        <v>301.5</v>
      </c>
      <c r="C26" s="100">
        <v>281.41826798234223</v>
      </c>
      <c r="D26" s="101" t="s">
        <v>329</v>
      </c>
    </row>
    <row r="27" spans="1:4" x14ac:dyDescent="0.2">
      <c r="A27" s="51" t="s">
        <v>335</v>
      </c>
      <c r="B27" s="100">
        <v>1822.95</v>
      </c>
      <c r="C27" s="100">
        <v>1701.5304531290574</v>
      </c>
      <c r="D27" s="101" t="s">
        <v>329</v>
      </c>
    </row>
    <row r="28" spans="1:4" x14ac:dyDescent="0.2">
      <c r="A28" s="51" t="s">
        <v>336</v>
      </c>
      <c r="B28" s="100">
        <v>250</v>
      </c>
      <c r="C28" s="100">
        <v>250</v>
      </c>
      <c r="D28" s="101" t="s">
        <v>329</v>
      </c>
    </row>
    <row r="29" spans="1:4" x14ac:dyDescent="0.2">
      <c r="A29" s="51" t="s">
        <v>337</v>
      </c>
      <c r="B29" s="100">
        <v>250</v>
      </c>
      <c r="C29" s="100">
        <v>250</v>
      </c>
      <c r="D29" s="101" t="s">
        <v>329</v>
      </c>
    </row>
    <row r="30" spans="1:4" x14ac:dyDescent="0.2">
      <c r="A30" s="51" t="s">
        <v>338</v>
      </c>
      <c r="B30" s="100">
        <v>970.2</v>
      </c>
      <c r="C30" s="100">
        <v>905.57878473123867</v>
      </c>
      <c r="D30" s="101" t="s">
        <v>329</v>
      </c>
    </row>
    <row r="31" spans="1:4" x14ac:dyDescent="0.2">
      <c r="A31" s="51" t="s">
        <v>339</v>
      </c>
      <c r="B31" s="100">
        <v>250</v>
      </c>
      <c r="C31" s="100">
        <v>250</v>
      </c>
      <c r="D31" s="101" t="s">
        <v>329</v>
      </c>
    </row>
    <row r="32" spans="1:4" x14ac:dyDescent="0.2">
      <c r="A32" s="51" t="s">
        <v>340</v>
      </c>
      <c r="B32" s="100">
        <v>1430.1000000000001</v>
      </c>
      <c r="C32" s="100">
        <v>1334.846650220722</v>
      </c>
      <c r="D32" s="101" t="s">
        <v>329</v>
      </c>
    </row>
    <row r="33" spans="1:4" x14ac:dyDescent="0.2">
      <c r="A33" s="129" t="s">
        <v>341</v>
      </c>
      <c r="B33" s="100">
        <v>250</v>
      </c>
      <c r="C33" s="100">
        <v>250</v>
      </c>
      <c r="D33" s="101" t="s">
        <v>329</v>
      </c>
    </row>
    <row r="34" spans="1:4" x14ac:dyDescent="0.2">
      <c r="A34" s="51" t="s">
        <v>342</v>
      </c>
      <c r="B34" s="100">
        <v>250</v>
      </c>
      <c r="C34" s="100">
        <v>250</v>
      </c>
      <c r="D34" s="101" t="s">
        <v>329</v>
      </c>
    </row>
    <row r="35" spans="1:4" x14ac:dyDescent="0.2">
      <c r="A35" s="51" t="s">
        <v>343</v>
      </c>
      <c r="B35" s="100">
        <v>250</v>
      </c>
      <c r="C35" s="100">
        <v>250</v>
      </c>
      <c r="D35" s="101" t="s">
        <v>329</v>
      </c>
    </row>
    <row r="36" spans="1:4" x14ac:dyDescent="0.2">
      <c r="A36" s="51" t="s">
        <v>344</v>
      </c>
      <c r="B36" s="100">
        <v>250</v>
      </c>
      <c r="C36" s="100">
        <v>250</v>
      </c>
      <c r="D36" s="101" t="s">
        <v>329</v>
      </c>
    </row>
    <row r="37" spans="1:4" x14ac:dyDescent="0.2">
      <c r="A37" s="51" t="s">
        <v>345</v>
      </c>
      <c r="B37" s="100">
        <v>312.3</v>
      </c>
      <c r="C37" s="100">
        <v>291.49892235782914</v>
      </c>
      <c r="D37" s="101" t="s">
        <v>329</v>
      </c>
    </row>
    <row r="38" spans="1:4" x14ac:dyDescent="0.2">
      <c r="A38" s="51" t="s">
        <v>346</v>
      </c>
      <c r="B38" s="100">
        <v>250</v>
      </c>
      <c r="C38" s="100">
        <v>250</v>
      </c>
      <c r="D38" s="101" t="s">
        <v>329</v>
      </c>
    </row>
    <row r="39" spans="1:4" x14ac:dyDescent="0.2">
      <c r="A39" s="51" t="s">
        <v>347</v>
      </c>
      <c r="B39" s="100">
        <v>456.75</v>
      </c>
      <c r="C39" s="100">
        <v>426.32767462996628</v>
      </c>
      <c r="D39" s="101" t="s">
        <v>329</v>
      </c>
    </row>
    <row r="40" spans="1:4" x14ac:dyDescent="0.2">
      <c r="A40" s="51" t="s">
        <v>348</v>
      </c>
      <c r="B40" s="100">
        <v>250</v>
      </c>
      <c r="C40" s="100">
        <v>250</v>
      </c>
      <c r="D40" s="101" t="s">
        <v>329</v>
      </c>
    </row>
    <row r="41" spans="1:4" x14ac:dyDescent="0.2">
      <c r="A41" s="51" t="s">
        <v>349</v>
      </c>
      <c r="B41" s="100">
        <v>656.1</v>
      </c>
      <c r="C41" s="100">
        <v>612.39975331082837</v>
      </c>
      <c r="D41" s="101" t="s">
        <v>329</v>
      </c>
    </row>
    <row r="42" spans="1:4" x14ac:dyDescent="0.2">
      <c r="A42" s="51" t="s">
        <v>350</v>
      </c>
      <c r="B42" s="100">
        <v>250</v>
      </c>
      <c r="C42" s="100">
        <v>250</v>
      </c>
      <c r="D42" s="101" t="s">
        <v>329</v>
      </c>
    </row>
    <row r="43" spans="1:4" x14ac:dyDescent="0.2">
      <c r="A43" s="51" t="s">
        <v>351</v>
      </c>
      <c r="B43" s="100">
        <v>250</v>
      </c>
      <c r="C43" s="100">
        <v>250</v>
      </c>
      <c r="D43" s="101" t="s">
        <v>329</v>
      </c>
    </row>
    <row r="44" spans="1:4" x14ac:dyDescent="0.2">
      <c r="A44" s="51"/>
      <c r="B44" s="51"/>
      <c r="C44" s="51"/>
      <c r="D44" s="101"/>
    </row>
    <row r="45" spans="1:4" x14ac:dyDescent="0.2">
      <c r="A45" s="51" t="s">
        <v>185</v>
      </c>
      <c r="B45" s="74">
        <f>SUM(B10:B42)</f>
        <v>17718.199999999997</v>
      </c>
      <c r="C45" s="74">
        <f>SUM(C10:C42)</f>
        <v>16771.181485328485</v>
      </c>
      <c r="D45" s="101"/>
    </row>
    <row r="46" spans="1:4" x14ac:dyDescent="0.2">
      <c r="A46" s="51"/>
      <c r="B46" s="74">
        <f>B45+C45</f>
        <v>34489.381485328486</v>
      </c>
      <c r="C46" s="51"/>
      <c r="D46" s="10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3" workbookViewId="0">
      <selection activeCell="C31" sqref="C31"/>
    </sheetView>
  </sheetViews>
  <sheetFormatPr baseColWidth="10" defaultColWidth="8.83203125" defaultRowHeight="15" x14ac:dyDescent="0.2"/>
  <cols>
    <col min="1" max="1" width="45.5" customWidth="1"/>
    <col min="2" max="2" width="17.1640625" customWidth="1"/>
    <col min="3" max="3" width="13.6640625" style="114" customWidth="1"/>
    <col min="4" max="4" width="12.33203125" customWidth="1"/>
    <col min="5" max="5" width="87.1640625" customWidth="1"/>
  </cols>
  <sheetData>
    <row r="1" spans="1:5" ht="26" x14ac:dyDescent="0.3">
      <c r="A1" s="57" t="s">
        <v>0</v>
      </c>
      <c r="B1" s="54"/>
      <c r="C1" s="113"/>
      <c r="D1" s="54"/>
      <c r="E1" s="54"/>
    </row>
    <row r="2" spans="1:5" ht="26" x14ac:dyDescent="0.3">
      <c r="A2" s="58" t="s">
        <v>1</v>
      </c>
      <c r="B2" s="54"/>
      <c r="C2" s="113"/>
      <c r="D2" s="54"/>
      <c r="E2" s="54"/>
    </row>
    <row r="3" spans="1:5" x14ac:dyDescent="0.2">
      <c r="A3" s="54" t="s">
        <v>13</v>
      </c>
      <c r="B3" s="54"/>
      <c r="C3" s="113"/>
      <c r="D3" s="54"/>
      <c r="E3" s="54"/>
    </row>
    <row r="4" spans="1:5" x14ac:dyDescent="0.2">
      <c r="A4" s="11">
        <v>42278</v>
      </c>
      <c r="B4" s="54"/>
      <c r="C4" s="113"/>
      <c r="D4" s="54"/>
      <c r="E4" s="54"/>
    </row>
    <row r="5" spans="1:5" x14ac:dyDescent="0.2">
      <c r="A5" s="51"/>
      <c r="B5" s="51"/>
      <c r="D5" s="51"/>
      <c r="E5" s="51"/>
    </row>
    <row r="6" spans="1:5" ht="21" x14ac:dyDescent="0.25">
      <c r="A6" s="40" t="s">
        <v>3</v>
      </c>
      <c r="B6" s="51"/>
      <c r="D6" s="51"/>
      <c r="E6" s="51"/>
    </row>
    <row r="7" spans="1:5" x14ac:dyDescent="0.2">
      <c r="A7" s="39" t="s">
        <v>4</v>
      </c>
      <c r="B7" s="39" t="s">
        <v>5</v>
      </c>
      <c r="C7" s="115" t="s">
        <v>6</v>
      </c>
      <c r="D7" s="39" t="s">
        <v>7</v>
      </c>
      <c r="E7" s="39" t="s">
        <v>8</v>
      </c>
    </row>
    <row r="8" spans="1:5" x14ac:dyDescent="0.2">
      <c r="A8" s="10" t="s">
        <v>14</v>
      </c>
      <c r="B8" s="20">
        <v>1950</v>
      </c>
      <c r="C8" s="116"/>
      <c r="D8" s="20"/>
      <c r="E8" s="3" t="s">
        <v>286</v>
      </c>
    </row>
    <row r="9" spans="1:5" x14ac:dyDescent="0.2">
      <c r="A9" s="12" t="s">
        <v>15</v>
      </c>
      <c r="B9" s="79">
        <v>5000</v>
      </c>
      <c r="C9" s="117"/>
      <c r="D9" s="80"/>
      <c r="E9" s="5"/>
    </row>
    <row r="10" spans="1:5" x14ac:dyDescent="0.2">
      <c r="A10" s="4" t="s">
        <v>9</v>
      </c>
      <c r="B10" s="23">
        <f>SUM(B8:B9)</f>
        <v>6950</v>
      </c>
      <c r="C10" s="88">
        <v>0</v>
      </c>
      <c r="D10" s="22">
        <v>0</v>
      </c>
      <c r="E10" s="4"/>
    </row>
    <row r="11" spans="1:5" x14ac:dyDescent="0.2">
      <c r="A11" s="41"/>
      <c r="B11" s="13"/>
      <c r="C11" s="118"/>
      <c r="D11" s="13"/>
      <c r="E11" s="41"/>
    </row>
    <row r="12" spans="1:5" ht="21" x14ac:dyDescent="0.25">
      <c r="A12" s="8" t="s">
        <v>10</v>
      </c>
      <c r="B12" s="14"/>
      <c r="C12" s="84"/>
      <c r="D12" s="14"/>
      <c r="E12" s="5"/>
    </row>
    <row r="13" spans="1:5" x14ac:dyDescent="0.2">
      <c r="A13" s="9" t="s">
        <v>4</v>
      </c>
      <c r="B13" s="15" t="s">
        <v>5</v>
      </c>
      <c r="C13" s="119" t="s">
        <v>6</v>
      </c>
      <c r="D13" s="15" t="s">
        <v>7</v>
      </c>
      <c r="E13" s="9" t="s">
        <v>8</v>
      </c>
    </row>
    <row r="14" spans="1:5" x14ac:dyDescent="0.2">
      <c r="A14" s="5" t="s">
        <v>126</v>
      </c>
      <c r="B14" s="81">
        <v>700</v>
      </c>
      <c r="C14" s="116"/>
      <c r="D14" s="20"/>
      <c r="E14" s="60" t="s">
        <v>127</v>
      </c>
    </row>
    <row r="15" spans="1:5" x14ac:dyDescent="0.2">
      <c r="A15" s="5" t="s">
        <v>128</v>
      </c>
      <c r="B15" s="81">
        <v>90</v>
      </c>
      <c r="C15" s="116">
        <v>0</v>
      </c>
      <c r="D15" s="20"/>
      <c r="E15" s="60" t="s">
        <v>129</v>
      </c>
    </row>
    <row r="16" spans="1:5" x14ac:dyDescent="0.2">
      <c r="A16" s="3" t="s">
        <v>16</v>
      </c>
      <c r="B16" s="81">
        <v>500</v>
      </c>
      <c r="C16" s="116"/>
      <c r="D16" s="21"/>
      <c r="E16" s="59" t="s">
        <v>130</v>
      </c>
    </row>
    <row r="17" spans="1:5" x14ac:dyDescent="0.2">
      <c r="A17" s="3" t="s">
        <v>17</v>
      </c>
      <c r="B17" s="81">
        <v>396</v>
      </c>
      <c r="C17" s="116">
        <f>396*1.35</f>
        <v>534.6</v>
      </c>
      <c r="D17" s="20"/>
      <c r="E17" s="3" t="s">
        <v>284</v>
      </c>
    </row>
    <row r="18" spans="1:5" x14ac:dyDescent="0.2">
      <c r="A18" s="82" t="s">
        <v>18</v>
      </c>
      <c r="B18" s="81">
        <v>1200</v>
      </c>
      <c r="C18" s="116"/>
      <c r="D18" s="20"/>
      <c r="E18" s="59" t="s">
        <v>131</v>
      </c>
    </row>
    <row r="19" spans="1:5" x14ac:dyDescent="0.2">
      <c r="A19" s="10" t="s">
        <v>132</v>
      </c>
      <c r="B19" s="81">
        <v>300</v>
      </c>
      <c r="C19" s="116">
        <v>300</v>
      </c>
      <c r="D19" s="20"/>
      <c r="E19" s="59" t="s">
        <v>133</v>
      </c>
    </row>
    <row r="20" spans="1:5" x14ac:dyDescent="0.2">
      <c r="A20" s="3" t="s">
        <v>19</v>
      </c>
      <c r="B20" s="83">
        <v>9000</v>
      </c>
      <c r="C20" s="116"/>
      <c r="D20" s="21"/>
      <c r="E20" s="59" t="s">
        <v>134</v>
      </c>
    </row>
    <row r="21" spans="1:5" x14ac:dyDescent="0.2">
      <c r="A21" s="3"/>
      <c r="B21" s="81"/>
      <c r="C21" s="116"/>
      <c r="D21" s="21"/>
      <c r="E21" s="59"/>
    </row>
    <row r="22" spans="1:5" x14ac:dyDescent="0.2">
      <c r="A22" s="60" t="s">
        <v>20</v>
      </c>
      <c r="B22" s="84">
        <v>1250</v>
      </c>
      <c r="C22" s="117">
        <v>1256.22</v>
      </c>
      <c r="D22" s="79"/>
      <c r="E22" s="60" t="s">
        <v>229</v>
      </c>
    </row>
    <row r="23" spans="1:5" x14ac:dyDescent="0.2">
      <c r="A23" s="59" t="s">
        <v>21</v>
      </c>
      <c r="B23" s="81">
        <v>500</v>
      </c>
      <c r="C23" s="120">
        <v>0</v>
      </c>
      <c r="D23" s="20"/>
      <c r="E23" s="59" t="s">
        <v>131</v>
      </c>
    </row>
    <row r="24" spans="1:5" x14ac:dyDescent="0.2">
      <c r="A24" s="59" t="s">
        <v>22</v>
      </c>
      <c r="B24" s="81">
        <v>50</v>
      </c>
      <c r="C24" s="120"/>
      <c r="D24" s="20"/>
      <c r="E24" s="59" t="s">
        <v>131</v>
      </c>
    </row>
    <row r="25" spans="1:5" x14ac:dyDescent="0.2">
      <c r="A25" s="60" t="s">
        <v>23</v>
      </c>
      <c r="B25" s="84">
        <v>2000</v>
      </c>
      <c r="C25" s="117"/>
      <c r="D25" s="79"/>
      <c r="E25" s="60" t="s">
        <v>5</v>
      </c>
    </row>
    <row r="26" spans="1:5" x14ac:dyDescent="0.2">
      <c r="A26" s="59"/>
      <c r="B26" s="81"/>
      <c r="C26" s="116"/>
      <c r="D26" s="20"/>
      <c r="E26" s="59"/>
    </row>
    <row r="27" spans="1:5" x14ac:dyDescent="0.2">
      <c r="A27" s="59"/>
      <c r="B27" s="81"/>
      <c r="C27" s="116"/>
      <c r="D27" s="20"/>
      <c r="E27" s="59"/>
    </row>
    <row r="28" spans="1:5" x14ac:dyDescent="0.2">
      <c r="A28" s="18" t="s">
        <v>24</v>
      </c>
      <c r="B28" s="85"/>
      <c r="C28" s="121"/>
      <c r="D28" s="19"/>
      <c r="E28" s="18"/>
    </row>
    <row r="29" spans="1:5" x14ac:dyDescent="0.2">
      <c r="A29" s="59" t="s">
        <v>25</v>
      </c>
      <c r="B29" s="81">
        <v>175</v>
      </c>
      <c r="C29" s="120">
        <v>200</v>
      </c>
      <c r="D29" s="20"/>
      <c r="E29" s="59" t="s">
        <v>135</v>
      </c>
    </row>
    <row r="30" spans="1:5" x14ac:dyDescent="0.2">
      <c r="A30" s="60"/>
      <c r="B30" s="84"/>
      <c r="C30" s="117"/>
      <c r="D30" s="79"/>
      <c r="E30" s="60"/>
    </row>
    <row r="31" spans="1:5" x14ac:dyDescent="0.2">
      <c r="A31" s="59" t="s">
        <v>26</v>
      </c>
      <c r="B31" s="81">
        <v>200</v>
      </c>
      <c r="C31" s="116"/>
      <c r="D31" s="20"/>
      <c r="E31" s="59" t="s">
        <v>131</v>
      </c>
    </row>
    <row r="32" spans="1:5" x14ac:dyDescent="0.2">
      <c r="A32" s="12" t="s">
        <v>27</v>
      </c>
      <c r="B32" s="81">
        <v>400</v>
      </c>
      <c r="C32" s="122"/>
      <c r="D32" s="20"/>
      <c r="E32" s="5" t="s">
        <v>136</v>
      </c>
    </row>
    <row r="33" spans="1:5" x14ac:dyDescent="0.2">
      <c r="A33" s="59" t="s">
        <v>28</v>
      </c>
      <c r="B33" s="86">
        <v>300</v>
      </c>
      <c r="C33" s="123">
        <v>300</v>
      </c>
      <c r="D33" s="59"/>
      <c r="E33" s="59" t="s">
        <v>137</v>
      </c>
    </row>
    <row r="34" spans="1:5" x14ac:dyDescent="0.2">
      <c r="A34" s="59"/>
      <c r="B34" s="86"/>
      <c r="C34" s="123"/>
      <c r="D34" s="59"/>
      <c r="E34" s="59"/>
    </row>
    <row r="35" spans="1:5" x14ac:dyDescent="0.2">
      <c r="A35" s="87" t="s">
        <v>138</v>
      </c>
      <c r="B35" s="84">
        <v>450</v>
      </c>
      <c r="C35" s="124">
        <v>450</v>
      </c>
      <c r="D35" s="60"/>
      <c r="E35" s="60" t="s">
        <v>139</v>
      </c>
    </row>
    <row r="36" spans="1:5" x14ac:dyDescent="0.2">
      <c r="A36" s="59"/>
      <c r="B36" s="86"/>
      <c r="C36" s="123"/>
      <c r="D36" s="59"/>
      <c r="E36" s="59"/>
    </row>
    <row r="37" spans="1:5" x14ac:dyDescent="0.2">
      <c r="A37" s="59"/>
      <c r="B37" s="86"/>
      <c r="C37" s="123"/>
      <c r="D37" s="59"/>
      <c r="E37" s="59"/>
    </row>
    <row r="38" spans="1:5" x14ac:dyDescent="0.2">
      <c r="A38" s="18" t="s">
        <v>29</v>
      </c>
      <c r="B38" s="86"/>
      <c r="C38" s="123"/>
      <c r="D38" s="59"/>
      <c r="E38" s="59"/>
    </row>
    <row r="39" spans="1:5" x14ac:dyDescent="0.2">
      <c r="A39" s="3" t="s">
        <v>30</v>
      </c>
      <c r="B39" s="86">
        <v>150</v>
      </c>
      <c r="C39" s="123">
        <v>150</v>
      </c>
      <c r="D39" s="59"/>
      <c r="E39" s="59" t="s">
        <v>131</v>
      </c>
    </row>
    <row r="40" spans="1:5" x14ac:dyDescent="0.2">
      <c r="A40" s="3"/>
      <c r="B40" s="86"/>
      <c r="C40" s="123"/>
      <c r="D40" s="59"/>
      <c r="E40" s="59"/>
    </row>
    <row r="41" spans="1:5" x14ac:dyDescent="0.2">
      <c r="A41" s="18" t="s">
        <v>31</v>
      </c>
      <c r="B41" s="86">
        <v>500</v>
      </c>
      <c r="C41" s="123">
        <v>0</v>
      </c>
      <c r="D41" s="59"/>
      <c r="E41" s="59" t="s">
        <v>285</v>
      </c>
    </row>
    <row r="42" spans="1:5" x14ac:dyDescent="0.2">
      <c r="A42" s="3"/>
      <c r="B42" s="86"/>
      <c r="C42" s="123"/>
      <c r="D42" s="59"/>
      <c r="E42" s="59"/>
    </row>
    <row r="43" spans="1:5" x14ac:dyDescent="0.2">
      <c r="A43" s="18" t="s">
        <v>273</v>
      </c>
      <c r="B43" s="86">
        <v>100</v>
      </c>
      <c r="C43" s="123">
        <v>0</v>
      </c>
      <c r="D43" s="59"/>
      <c r="E43" s="59" t="s">
        <v>282</v>
      </c>
    </row>
    <row r="44" spans="1:5" x14ac:dyDescent="0.2">
      <c r="A44" s="3"/>
      <c r="B44" s="86"/>
      <c r="C44" s="123"/>
      <c r="D44" s="59"/>
      <c r="E44" s="59"/>
    </row>
    <row r="45" spans="1:5" x14ac:dyDescent="0.2">
      <c r="A45" s="18" t="s">
        <v>59</v>
      </c>
      <c r="B45" s="73">
        <v>300</v>
      </c>
      <c r="C45" s="73">
        <v>0</v>
      </c>
      <c r="D45" s="62"/>
      <c r="E45" s="59" t="s">
        <v>140</v>
      </c>
    </row>
    <row r="46" spans="1:5" x14ac:dyDescent="0.2">
      <c r="A46" s="3"/>
      <c r="B46" s="86"/>
      <c r="C46" s="123"/>
      <c r="D46" s="59"/>
      <c r="E46" s="59"/>
    </row>
    <row r="47" spans="1:5" x14ac:dyDescent="0.2">
      <c r="A47" s="4" t="s">
        <v>11</v>
      </c>
      <c r="B47" s="88">
        <f>SUM(B14:B46)</f>
        <v>18561</v>
      </c>
      <c r="C47" s="88"/>
      <c r="D47" s="22">
        <v>0</v>
      </c>
      <c r="E47" s="4"/>
    </row>
    <row r="48" spans="1:5" x14ac:dyDescent="0.2">
      <c r="A48" s="3"/>
      <c r="B48" s="16"/>
      <c r="C48" s="81"/>
      <c r="D48" s="16"/>
      <c r="E48" s="3"/>
    </row>
    <row r="49" spans="1:5" x14ac:dyDescent="0.2">
      <c r="A49" s="6" t="s">
        <v>12</v>
      </c>
      <c r="B49" s="24">
        <v>-13692.21</v>
      </c>
      <c r="C49" s="125"/>
      <c r="D49" s="17"/>
      <c r="E49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4" workbookViewId="0">
      <selection activeCell="B18" sqref="B18"/>
    </sheetView>
  </sheetViews>
  <sheetFormatPr baseColWidth="10" defaultColWidth="8.83203125" defaultRowHeight="15" x14ac:dyDescent="0.2"/>
  <cols>
    <col min="1" max="1" width="37.33203125" customWidth="1"/>
    <col min="2" max="2" width="25.1640625" customWidth="1"/>
    <col min="3" max="3" width="20" customWidth="1"/>
    <col min="4" max="4" width="16.5" customWidth="1"/>
    <col min="5" max="5" width="57.6640625" customWidth="1"/>
  </cols>
  <sheetData>
    <row r="1" spans="1:6" ht="26" x14ac:dyDescent="0.3">
      <c r="A1" s="57" t="s">
        <v>0</v>
      </c>
      <c r="B1" s="54"/>
      <c r="C1" s="54"/>
      <c r="D1" s="54"/>
      <c r="E1" s="54"/>
      <c r="F1" s="51"/>
    </row>
    <row r="2" spans="1:6" ht="26" x14ac:dyDescent="0.3">
      <c r="A2" s="58" t="s">
        <v>1</v>
      </c>
      <c r="B2" s="54"/>
      <c r="C2" s="54"/>
      <c r="D2" s="54"/>
      <c r="E2" s="54"/>
      <c r="F2" s="51"/>
    </row>
    <row r="3" spans="1:6" x14ac:dyDescent="0.2">
      <c r="A3" s="54" t="s">
        <v>77</v>
      </c>
      <c r="B3" s="54"/>
      <c r="C3" s="54"/>
      <c r="D3" s="54"/>
      <c r="E3" s="54"/>
      <c r="F3" s="51"/>
    </row>
    <row r="4" spans="1:6" x14ac:dyDescent="0.2">
      <c r="A4" s="54" t="s">
        <v>101</v>
      </c>
      <c r="B4" s="54"/>
      <c r="C4" s="54"/>
      <c r="D4" s="54"/>
      <c r="E4" s="54"/>
      <c r="F4" s="51"/>
    </row>
    <row r="5" spans="1:6" x14ac:dyDescent="0.2">
      <c r="A5" s="51"/>
      <c r="B5" s="51"/>
      <c r="C5" s="51"/>
      <c r="D5" s="51"/>
      <c r="E5" s="51"/>
      <c r="F5" s="51"/>
    </row>
    <row r="6" spans="1:6" ht="21" x14ac:dyDescent="0.25">
      <c r="A6" s="40" t="s">
        <v>3</v>
      </c>
      <c r="B6" s="51"/>
      <c r="C6" s="51"/>
      <c r="D6" s="51"/>
      <c r="E6" s="51"/>
      <c r="F6" s="51"/>
    </row>
    <row r="7" spans="1:6" x14ac:dyDescent="0.2">
      <c r="A7" s="39" t="s">
        <v>4</v>
      </c>
      <c r="B7" s="39" t="s">
        <v>5</v>
      </c>
      <c r="C7" s="39" t="s">
        <v>6</v>
      </c>
      <c r="D7" s="39" t="s">
        <v>7</v>
      </c>
      <c r="E7" s="39" t="s">
        <v>8</v>
      </c>
      <c r="F7" s="51"/>
    </row>
    <row r="8" spans="1:6" x14ac:dyDescent="0.2">
      <c r="A8" s="59"/>
      <c r="B8" s="70"/>
      <c r="C8" s="70"/>
      <c r="D8" s="70"/>
      <c r="E8" s="59"/>
      <c r="F8" s="51"/>
    </row>
    <row r="9" spans="1:6" x14ac:dyDescent="0.2">
      <c r="A9" s="59"/>
      <c r="B9" s="70"/>
      <c r="C9" s="70"/>
      <c r="D9" s="70">
        <f t="shared" ref="D9:D11" si="0">C9-B9</f>
        <v>0</v>
      </c>
      <c r="E9" s="59"/>
      <c r="F9" s="51"/>
    </row>
    <row r="10" spans="1:6" x14ac:dyDescent="0.2">
      <c r="A10" s="59"/>
      <c r="B10" s="70"/>
      <c r="C10" s="70"/>
      <c r="D10" s="70">
        <f t="shared" si="0"/>
        <v>0</v>
      </c>
      <c r="E10" s="59"/>
      <c r="F10" s="51"/>
    </row>
    <row r="11" spans="1:6" x14ac:dyDescent="0.2">
      <c r="A11" s="59"/>
      <c r="B11" s="70"/>
      <c r="C11" s="70"/>
      <c r="D11" s="70">
        <f t="shared" si="0"/>
        <v>0</v>
      </c>
      <c r="E11" s="59"/>
      <c r="F11" s="51"/>
    </row>
    <row r="12" spans="1:6" x14ac:dyDescent="0.2">
      <c r="A12" s="56" t="s">
        <v>9</v>
      </c>
      <c r="B12" s="69">
        <f>SUM(B8:B11)</f>
        <v>0</v>
      </c>
      <c r="C12" s="69">
        <f>SUM(C8:C11)</f>
        <v>0</v>
      </c>
      <c r="D12" s="69">
        <f>SUM(D8:D11)</f>
        <v>0</v>
      </c>
      <c r="E12" s="56"/>
      <c r="F12" s="51"/>
    </row>
    <row r="13" spans="1:6" x14ac:dyDescent="0.2">
      <c r="A13" s="68"/>
      <c r="B13" s="68"/>
      <c r="C13" s="68"/>
      <c r="D13" s="68"/>
      <c r="E13" s="68"/>
      <c r="F13" s="51"/>
    </row>
    <row r="14" spans="1:6" ht="21" x14ac:dyDescent="0.25">
      <c r="A14" s="53" t="s">
        <v>10</v>
      </c>
      <c r="B14" s="60"/>
      <c r="C14" s="60"/>
      <c r="D14" s="60"/>
      <c r="E14" s="60"/>
      <c r="F14" s="51"/>
    </row>
    <row r="15" spans="1:6" x14ac:dyDescent="0.2">
      <c r="A15" s="52" t="s">
        <v>4</v>
      </c>
      <c r="B15" s="52" t="s">
        <v>5</v>
      </c>
      <c r="C15" s="52" t="s">
        <v>6</v>
      </c>
      <c r="D15" s="52" t="s">
        <v>7</v>
      </c>
      <c r="E15" s="52" t="s">
        <v>8</v>
      </c>
      <c r="F15" s="51"/>
    </row>
    <row r="16" spans="1:6" x14ac:dyDescent="0.2">
      <c r="A16" s="59" t="s">
        <v>100</v>
      </c>
      <c r="B16" s="70">
        <v>650</v>
      </c>
      <c r="C16" s="70"/>
      <c r="D16" s="70"/>
      <c r="E16" s="59" t="s">
        <v>106</v>
      </c>
      <c r="F16" s="51"/>
    </row>
    <row r="17" spans="1:6" x14ac:dyDescent="0.2">
      <c r="A17" s="59" t="s">
        <v>78</v>
      </c>
      <c r="B17" s="70">
        <v>19600</v>
      </c>
      <c r="C17" s="70"/>
      <c r="D17" s="70"/>
      <c r="E17" s="59"/>
      <c r="F17" s="51"/>
    </row>
    <row r="18" spans="1:6" x14ac:dyDescent="0.2">
      <c r="A18" s="59" t="s">
        <v>79</v>
      </c>
      <c r="B18" s="70">
        <f>16.67*8+206.96*8</f>
        <v>1789.04</v>
      </c>
      <c r="C18" s="70"/>
      <c r="D18" s="70"/>
      <c r="E18" s="59" t="s">
        <v>105</v>
      </c>
      <c r="F18" s="51"/>
    </row>
    <row r="19" spans="1:6" x14ac:dyDescent="0.2">
      <c r="A19" s="59" t="s">
        <v>80</v>
      </c>
      <c r="B19" s="70">
        <v>466</v>
      </c>
      <c r="C19" s="70"/>
      <c r="D19" s="70"/>
      <c r="E19" s="59" t="s">
        <v>81</v>
      </c>
      <c r="F19" s="51"/>
    </row>
    <row r="20" spans="1:6" x14ac:dyDescent="0.2">
      <c r="A20" s="59" t="s">
        <v>82</v>
      </c>
      <c r="B20" s="70">
        <v>200</v>
      </c>
      <c r="C20" s="70"/>
      <c r="D20" s="70"/>
      <c r="E20" s="59"/>
      <c r="F20" s="51"/>
    </row>
    <row r="21" spans="1:6" x14ac:dyDescent="0.2">
      <c r="A21" s="59" t="s">
        <v>83</v>
      </c>
      <c r="B21" s="70">
        <v>400</v>
      </c>
      <c r="C21" s="70"/>
      <c r="D21" s="70"/>
      <c r="E21" s="59"/>
      <c r="F21" s="51"/>
    </row>
    <row r="22" spans="1:6" x14ac:dyDescent="0.2">
      <c r="A22" s="59" t="s">
        <v>84</v>
      </c>
      <c r="B22" s="70">
        <v>500</v>
      </c>
      <c r="C22" s="70"/>
      <c r="D22" s="70"/>
      <c r="E22" s="59" t="s">
        <v>85</v>
      </c>
      <c r="F22" s="51"/>
    </row>
    <row r="23" spans="1:6" x14ac:dyDescent="0.2">
      <c r="A23" s="56" t="s">
        <v>11</v>
      </c>
      <c r="B23" s="69">
        <f>SUM(B16:B22)</f>
        <v>23605.040000000001</v>
      </c>
      <c r="C23" s="69">
        <f>SUM(C16:C21)</f>
        <v>0</v>
      </c>
      <c r="D23" s="69">
        <f>SUM(D16:D21)</f>
        <v>0</v>
      </c>
      <c r="E23" s="56"/>
      <c r="F23" s="51"/>
    </row>
    <row r="24" spans="1:6" x14ac:dyDescent="0.2">
      <c r="A24" s="59"/>
      <c r="B24" s="59"/>
      <c r="C24" s="59"/>
      <c r="D24" s="59"/>
      <c r="E24" s="59"/>
      <c r="F24" s="51"/>
    </row>
    <row r="25" spans="1:6" ht="21" x14ac:dyDescent="0.25">
      <c r="A25" s="61" t="s">
        <v>12</v>
      </c>
      <c r="B25" s="67">
        <f>B12-B23</f>
        <v>-23605.040000000001</v>
      </c>
      <c r="C25" s="67">
        <f>C12-C23</f>
        <v>0</v>
      </c>
      <c r="D25" s="55"/>
      <c r="E25" s="55"/>
      <c r="F25" s="51"/>
    </row>
    <row r="26" spans="1:6" x14ac:dyDescent="0.2">
      <c r="A26" s="51"/>
      <c r="B26" s="51"/>
      <c r="C26" s="51"/>
      <c r="D26" s="51"/>
      <c r="E26" s="51"/>
      <c r="F26" s="51"/>
    </row>
    <row r="27" spans="1:6" x14ac:dyDescent="0.2">
      <c r="A27" s="51"/>
      <c r="B27" s="74"/>
      <c r="C27" s="51"/>
      <c r="D27" s="51"/>
      <c r="E27" s="51"/>
      <c r="F27" s="51"/>
    </row>
    <row r="28" spans="1:6" x14ac:dyDescent="0.2">
      <c r="F28" s="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4" workbookViewId="0">
      <selection activeCell="B13" sqref="B13"/>
    </sheetView>
  </sheetViews>
  <sheetFormatPr baseColWidth="10" defaultColWidth="8.83203125" defaultRowHeight="15" x14ac:dyDescent="0.2"/>
  <cols>
    <col min="1" max="1" width="33.5" customWidth="1"/>
    <col min="2" max="2" width="17.83203125" customWidth="1"/>
    <col min="3" max="3" width="13.5" customWidth="1"/>
    <col min="4" max="4" width="18.6640625" customWidth="1"/>
    <col min="5" max="5" width="34.5" customWidth="1"/>
  </cols>
  <sheetData>
    <row r="1" spans="1:6" ht="26" x14ac:dyDescent="0.3">
      <c r="A1" s="58" t="s">
        <v>1</v>
      </c>
      <c r="B1" s="2"/>
      <c r="C1" s="2"/>
      <c r="D1" s="2"/>
      <c r="E1" s="2"/>
      <c r="F1" s="1"/>
    </row>
    <row r="2" spans="1:6" x14ac:dyDescent="0.2">
      <c r="A2" s="2" t="s">
        <v>32</v>
      </c>
      <c r="B2" s="2"/>
      <c r="C2" s="2"/>
      <c r="D2" s="2"/>
      <c r="E2" s="2"/>
      <c r="F2" s="1"/>
    </row>
    <row r="3" spans="1:6" x14ac:dyDescent="0.2">
      <c r="A3" s="25">
        <v>42278</v>
      </c>
      <c r="B3" s="2"/>
      <c r="C3" s="2"/>
      <c r="D3" s="2"/>
      <c r="E3" s="2"/>
      <c r="F3" s="1"/>
    </row>
    <row r="4" spans="1:6" x14ac:dyDescent="0.2">
      <c r="A4" s="1"/>
      <c r="B4" s="1"/>
      <c r="C4" s="1"/>
      <c r="D4" s="1"/>
      <c r="E4" s="1"/>
      <c r="F4" s="1"/>
    </row>
    <row r="5" spans="1:6" ht="21" x14ac:dyDescent="0.25">
      <c r="A5" s="40" t="s">
        <v>3</v>
      </c>
      <c r="B5" s="1"/>
      <c r="C5" s="1"/>
      <c r="D5" s="1"/>
      <c r="E5" s="1"/>
      <c r="F5" s="1"/>
    </row>
    <row r="6" spans="1:6" x14ac:dyDescent="0.2">
      <c r="A6" s="39" t="s">
        <v>4</v>
      </c>
      <c r="B6" s="39" t="s">
        <v>5</v>
      </c>
      <c r="C6" s="39" t="s">
        <v>6</v>
      </c>
      <c r="D6" s="39" t="s">
        <v>7</v>
      </c>
      <c r="E6" s="39" t="s">
        <v>8</v>
      </c>
      <c r="F6" s="1"/>
    </row>
    <row r="7" spans="1:6" x14ac:dyDescent="0.2">
      <c r="A7" s="12" t="s">
        <v>190</v>
      </c>
      <c r="B7" s="95">
        <v>500</v>
      </c>
      <c r="C7" s="32"/>
      <c r="D7" s="32"/>
      <c r="E7" s="32"/>
      <c r="F7" s="1"/>
    </row>
    <row r="8" spans="1:6" x14ac:dyDescent="0.2">
      <c r="A8" s="26" t="s">
        <v>9</v>
      </c>
      <c r="B8" s="27"/>
      <c r="C8" s="27">
        <v>0</v>
      </c>
      <c r="D8" s="27">
        <v>0</v>
      </c>
      <c r="E8" s="28"/>
      <c r="F8" s="1"/>
    </row>
    <row r="9" spans="1:6" x14ac:dyDescent="0.2">
      <c r="A9" s="29"/>
      <c r="B9" s="29"/>
      <c r="C9" s="41"/>
      <c r="D9" s="29"/>
      <c r="E9" s="28"/>
      <c r="F9" s="1"/>
    </row>
    <row r="10" spans="1:6" x14ac:dyDescent="0.2">
      <c r="A10" s="29"/>
      <c r="B10" s="29"/>
      <c r="C10" s="30"/>
      <c r="D10" s="29"/>
      <c r="E10" s="28"/>
      <c r="F10" s="1"/>
    </row>
    <row r="11" spans="1:6" ht="21" x14ac:dyDescent="0.25">
      <c r="A11" s="53" t="s">
        <v>10</v>
      </c>
      <c r="B11" s="52" t="s">
        <v>5</v>
      </c>
      <c r="C11" s="52" t="s">
        <v>6</v>
      </c>
      <c r="D11" s="52" t="s">
        <v>7</v>
      </c>
      <c r="E11" s="30"/>
      <c r="F11" s="1"/>
    </row>
    <row r="12" spans="1:6" x14ac:dyDescent="0.2">
      <c r="A12" s="52" t="s">
        <v>4</v>
      </c>
      <c r="B12" s="52"/>
      <c r="C12" s="52"/>
      <c r="D12" s="52"/>
      <c r="E12" s="41"/>
      <c r="F12" s="1"/>
    </row>
    <row r="13" spans="1:6" x14ac:dyDescent="0.2">
      <c r="A13" s="28" t="s">
        <v>33</v>
      </c>
      <c r="B13" s="31">
        <v>2800</v>
      </c>
      <c r="C13" s="31"/>
      <c r="D13" s="31"/>
      <c r="E13" s="32"/>
      <c r="F13" s="1"/>
    </row>
    <row r="14" spans="1:6" x14ac:dyDescent="0.2">
      <c r="A14" s="28" t="s">
        <v>191</v>
      </c>
      <c r="B14" s="31">
        <v>5000</v>
      </c>
      <c r="C14" s="31"/>
      <c r="D14" s="31"/>
      <c r="E14" s="33"/>
      <c r="F14" s="1"/>
    </row>
    <row r="15" spans="1:6" x14ac:dyDescent="0.2">
      <c r="A15" s="28" t="s">
        <v>34</v>
      </c>
      <c r="B15" s="31">
        <v>500</v>
      </c>
      <c r="C15" s="31"/>
      <c r="D15" s="31"/>
      <c r="E15" s="33"/>
      <c r="F15" s="1"/>
    </row>
    <row r="16" spans="1:6" x14ac:dyDescent="0.2">
      <c r="A16" s="28" t="s">
        <v>192</v>
      </c>
      <c r="B16" s="31">
        <v>700</v>
      </c>
      <c r="C16" s="31"/>
      <c r="D16" s="31"/>
      <c r="E16" s="33"/>
      <c r="F16" s="1"/>
    </row>
    <row r="17" spans="1:6" x14ac:dyDescent="0.2">
      <c r="A17" s="28"/>
      <c r="B17" s="31"/>
      <c r="C17" s="31"/>
      <c r="D17" s="31"/>
      <c r="E17" s="28"/>
      <c r="F17" s="1"/>
    </row>
    <row r="18" spans="1:6" x14ac:dyDescent="0.2">
      <c r="A18" s="28" t="s">
        <v>35</v>
      </c>
      <c r="B18" s="31">
        <v>750</v>
      </c>
      <c r="C18" s="31"/>
      <c r="D18" s="31"/>
      <c r="E18" s="28"/>
      <c r="F18" s="1"/>
    </row>
    <row r="19" spans="1:6" x14ac:dyDescent="0.2">
      <c r="A19" s="28" t="s">
        <v>36</v>
      </c>
      <c r="B19" s="31">
        <v>500</v>
      </c>
      <c r="C19" s="31"/>
      <c r="D19" s="31"/>
      <c r="E19" s="34"/>
      <c r="F19" s="1"/>
    </row>
    <row r="20" spans="1:6" x14ac:dyDescent="0.2">
      <c r="A20" s="28" t="s">
        <v>37</v>
      </c>
      <c r="B20" s="31">
        <v>300</v>
      </c>
      <c r="C20" s="31"/>
      <c r="D20" s="31"/>
      <c r="E20" s="28"/>
      <c r="F20" s="1"/>
    </row>
    <row r="21" spans="1:6" x14ac:dyDescent="0.2">
      <c r="A21" s="28" t="s">
        <v>38</v>
      </c>
      <c r="B21" s="31">
        <v>100</v>
      </c>
      <c r="C21" s="31"/>
      <c r="D21" s="31"/>
      <c r="E21" s="28"/>
      <c r="F21" s="1"/>
    </row>
    <row r="22" spans="1:6" s="51" customFormat="1" x14ac:dyDescent="0.2">
      <c r="A22" s="28" t="s">
        <v>39</v>
      </c>
      <c r="B22" s="31">
        <v>300</v>
      </c>
      <c r="C22" s="31"/>
      <c r="D22" s="31"/>
      <c r="E22" s="34"/>
      <c r="F22" s="1"/>
    </row>
    <row r="23" spans="1:6" x14ac:dyDescent="0.2">
      <c r="A23" s="28" t="s">
        <v>40</v>
      </c>
      <c r="B23" s="31">
        <v>150</v>
      </c>
      <c r="C23" s="31"/>
      <c r="D23" s="31"/>
      <c r="E23" s="34"/>
      <c r="F23" s="1"/>
    </row>
    <row r="24" spans="1:6" x14ac:dyDescent="0.2">
      <c r="A24" s="28" t="s">
        <v>98</v>
      </c>
      <c r="B24" s="31">
        <v>400</v>
      </c>
      <c r="C24" s="31"/>
      <c r="D24" s="31"/>
      <c r="E24" s="28"/>
      <c r="F24" s="1"/>
    </row>
    <row r="25" spans="1:6" x14ac:dyDescent="0.2">
      <c r="A25" s="26" t="s">
        <v>11</v>
      </c>
      <c r="B25" s="35">
        <f>SUM(B13:B24)</f>
        <v>11500</v>
      </c>
      <c r="C25" s="27">
        <f>SUM(C13:C22)</f>
        <v>0</v>
      </c>
      <c r="D25" s="35">
        <f>SUM(D13:D23)</f>
        <v>0</v>
      </c>
      <c r="E25" s="28"/>
      <c r="F25" s="1"/>
    </row>
    <row r="26" spans="1:6" x14ac:dyDescent="0.2">
      <c r="A26" s="28"/>
      <c r="B26" s="28"/>
      <c r="C26" s="28"/>
      <c r="D26" s="28"/>
      <c r="E26" s="28"/>
      <c r="F26" s="1"/>
    </row>
    <row r="27" spans="1:6" ht="21" x14ac:dyDescent="0.25">
      <c r="A27" s="61" t="s">
        <v>12</v>
      </c>
      <c r="B27" s="36">
        <f>B9-B25</f>
        <v>-11500</v>
      </c>
      <c r="C27" s="36">
        <f>C8-C25</f>
        <v>0</v>
      </c>
      <c r="D27" s="37"/>
      <c r="E27" s="28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F29" s="1"/>
    </row>
    <row r="30" spans="1:6" x14ac:dyDescent="0.2">
      <c r="A30" s="1"/>
      <c r="B30" s="1"/>
      <c r="C30" s="1"/>
      <c r="D30" s="1"/>
      <c r="F30" s="1"/>
    </row>
    <row r="31" spans="1:6" x14ac:dyDescent="0.2">
      <c r="A31" s="1"/>
      <c r="B31" s="1"/>
      <c r="C31" s="1"/>
      <c r="D31" s="1"/>
      <c r="F31" s="1"/>
    </row>
    <row r="32" spans="1:6" x14ac:dyDescent="0.2">
      <c r="A32" s="1"/>
      <c r="B32" s="1"/>
      <c r="C32" s="1"/>
      <c r="D32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7" workbookViewId="0">
      <selection activeCell="C33" sqref="C33"/>
    </sheetView>
  </sheetViews>
  <sheetFormatPr baseColWidth="10" defaultColWidth="8.83203125" defaultRowHeight="15" x14ac:dyDescent="0.2"/>
  <cols>
    <col min="1" max="1" width="53" customWidth="1"/>
    <col min="2" max="2" width="16.6640625" customWidth="1"/>
    <col min="3" max="3" width="14.33203125" customWidth="1"/>
    <col min="4" max="4" width="17.33203125" customWidth="1"/>
    <col min="5" max="5" width="69.5" customWidth="1"/>
  </cols>
  <sheetData>
    <row r="1" spans="1:5" ht="26" x14ac:dyDescent="0.3">
      <c r="A1" s="57" t="s">
        <v>0</v>
      </c>
      <c r="B1" s="54"/>
      <c r="C1" s="54"/>
      <c r="D1" s="54"/>
      <c r="E1" s="54"/>
    </row>
    <row r="2" spans="1:5" ht="26" x14ac:dyDescent="0.3">
      <c r="A2" s="58" t="s">
        <v>1</v>
      </c>
      <c r="B2" s="54"/>
      <c r="C2" s="54"/>
      <c r="D2" s="54"/>
      <c r="E2" s="54"/>
    </row>
    <row r="3" spans="1:5" x14ac:dyDescent="0.2">
      <c r="A3" s="54" t="s">
        <v>193</v>
      </c>
      <c r="B3" s="54"/>
      <c r="C3" s="54"/>
      <c r="D3" s="54"/>
      <c r="E3" s="54"/>
    </row>
    <row r="4" spans="1:5" x14ac:dyDescent="0.2">
      <c r="A4" s="43">
        <v>41579</v>
      </c>
      <c r="B4" s="54"/>
      <c r="C4" s="54"/>
      <c r="D4" s="54"/>
      <c r="E4" s="54"/>
    </row>
    <row r="5" spans="1:5" x14ac:dyDescent="0.2">
      <c r="A5" s="51"/>
      <c r="B5" s="51"/>
      <c r="C5" s="51"/>
      <c r="D5" s="51"/>
      <c r="E5" s="51"/>
    </row>
    <row r="6" spans="1:5" ht="21" x14ac:dyDescent="0.25">
      <c r="A6" s="40" t="s">
        <v>3</v>
      </c>
      <c r="B6" s="51"/>
      <c r="C6" s="51"/>
      <c r="D6" s="51"/>
      <c r="E6" s="51"/>
    </row>
    <row r="7" spans="1:5" x14ac:dyDescent="0.2">
      <c r="A7" s="39" t="s">
        <v>4</v>
      </c>
      <c r="B7" s="39" t="s">
        <v>5</v>
      </c>
      <c r="C7" s="39" t="s">
        <v>6</v>
      </c>
      <c r="D7" s="39" t="s">
        <v>7</v>
      </c>
      <c r="E7" s="39" t="s">
        <v>8</v>
      </c>
    </row>
    <row r="8" spans="1:5" x14ac:dyDescent="0.2">
      <c r="A8" s="59" t="s">
        <v>41</v>
      </c>
      <c r="B8" s="62">
        <v>500</v>
      </c>
      <c r="C8" s="62"/>
      <c r="D8" s="62"/>
      <c r="E8" s="59"/>
    </row>
    <row r="9" spans="1:5" x14ac:dyDescent="0.2">
      <c r="A9" s="59" t="s">
        <v>287</v>
      </c>
      <c r="B9" s="62">
        <v>0</v>
      </c>
      <c r="C9" s="62">
        <v>1600</v>
      </c>
      <c r="D9" s="62"/>
      <c r="E9" s="59"/>
    </row>
    <row r="10" spans="1:5" x14ac:dyDescent="0.2">
      <c r="A10" s="59"/>
      <c r="B10" s="62"/>
      <c r="C10" s="62"/>
      <c r="D10" s="62"/>
      <c r="E10" s="59"/>
    </row>
    <row r="11" spans="1:5" x14ac:dyDescent="0.2">
      <c r="A11" s="59"/>
      <c r="B11" s="62"/>
      <c r="C11" s="62"/>
      <c r="D11" s="62"/>
      <c r="E11" s="59"/>
    </row>
    <row r="12" spans="1:5" x14ac:dyDescent="0.2">
      <c r="A12" s="59"/>
      <c r="B12" s="62"/>
      <c r="C12" s="62"/>
      <c r="D12" s="62"/>
      <c r="E12" s="59"/>
    </row>
    <row r="13" spans="1:5" x14ac:dyDescent="0.2">
      <c r="A13" s="59"/>
      <c r="B13" s="62"/>
      <c r="C13" s="62"/>
      <c r="D13" s="62"/>
      <c r="E13" s="59"/>
    </row>
    <row r="14" spans="1:5" x14ac:dyDescent="0.2">
      <c r="A14" s="59"/>
      <c r="B14" s="62"/>
      <c r="C14" s="62"/>
      <c r="D14" s="62"/>
      <c r="E14" s="59"/>
    </row>
    <row r="15" spans="1:5" x14ac:dyDescent="0.2">
      <c r="A15" s="59"/>
      <c r="B15" s="62"/>
      <c r="C15" s="62"/>
      <c r="D15" s="62"/>
      <c r="E15" s="59"/>
    </row>
    <row r="16" spans="1:5" x14ac:dyDescent="0.2">
      <c r="A16" s="56" t="s">
        <v>9</v>
      </c>
      <c r="B16" s="63">
        <f>SUM(B8:B15)</f>
        <v>500</v>
      </c>
      <c r="C16" s="63">
        <f>SUM(C8:C15)</f>
        <v>1600</v>
      </c>
      <c r="D16" s="63">
        <f>SUM(D8:D15)</f>
        <v>0</v>
      </c>
      <c r="E16" s="56"/>
    </row>
    <row r="17" spans="1:6" x14ac:dyDescent="0.2">
      <c r="A17" s="41"/>
      <c r="B17" s="41"/>
      <c r="C17" s="41"/>
      <c r="D17" s="41"/>
      <c r="E17" s="41"/>
      <c r="F17" s="38"/>
    </row>
    <row r="18" spans="1:6" ht="21" x14ac:dyDescent="0.25">
      <c r="A18" s="53" t="s">
        <v>10</v>
      </c>
      <c r="B18" s="60"/>
      <c r="C18" s="60"/>
      <c r="D18" s="60"/>
      <c r="E18" s="60"/>
      <c r="F18" s="38"/>
    </row>
    <row r="19" spans="1:6" x14ac:dyDescent="0.2">
      <c r="A19" s="52" t="s">
        <v>4</v>
      </c>
      <c r="B19" s="52" t="s">
        <v>5</v>
      </c>
      <c r="C19" s="52" t="s">
        <v>6</v>
      </c>
      <c r="D19" s="52" t="s">
        <v>7</v>
      </c>
      <c r="E19" s="52" t="s">
        <v>8</v>
      </c>
      <c r="F19" s="38"/>
    </row>
    <row r="20" spans="1:6" ht="16" x14ac:dyDescent="0.2">
      <c r="A20" s="48" t="s">
        <v>42</v>
      </c>
      <c r="B20" s="62"/>
      <c r="C20" s="62"/>
      <c r="D20" s="62"/>
      <c r="E20" s="59"/>
      <c r="F20" s="38"/>
    </row>
    <row r="21" spans="1:6" x14ac:dyDescent="0.2">
      <c r="A21" s="5" t="s">
        <v>194</v>
      </c>
      <c r="B21" s="62">
        <v>250</v>
      </c>
      <c r="C21" s="62"/>
      <c r="D21" s="62"/>
      <c r="E21" s="59"/>
      <c r="F21" s="38"/>
    </row>
    <row r="22" spans="1:6" x14ac:dyDescent="0.2">
      <c r="A22" s="59" t="s">
        <v>43</v>
      </c>
      <c r="B22" s="62">
        <v>300</v>
      </c>
      <c r="C22" s="62">
        <v>0</v>
      </c>
      <c r="D22" s="62"/>
      <c r="E22" s="59" t="s">
        <v>195</v>
      </c>
      <c r="F22" s="38"/>
    </row>
    <row r="23" spans="1:6" x14ac:dyDescent="0.2">
      <c r="A23" s="59" t="s">
        <v>44</v>
      </c>
      <c r="B23" s="62">
        <v>60</v>
      </c>
      <c r="C23" s="62">
        <v>30</v>
      </c>
      <c r="D23" s="62"/>
      <c r="E23" s="59" t="s">
        <v>45</v>
      </c>
      <c r="F23" s="38"/>
    </row>
    <row r="24" spans="1:6" x14ac:dyDescent="0.2">
      <c r="A24" s="59" t="s">
        <v>196</v>
      </c>
      <c r="B24" s="62">
        <v>100</v>
      </c>
      <c r="C24" s="62"/>
      <c r="D24" s="62"/>
      <c r="E24" s="59" t="s">
        <v>46</v>
      </c>
      <c r="F24" s="38"/>
    </row>
    <row r="25" spans="1:6" x14ac:dyDescent="0.2">
      <c r="A25" s="59" t="s">
        <v>47</v>
      </c>
      <c r="B25" s="62">
        <v>1500</v>
      </c>
      <c r="C25" s="62"/>
      <c r="D25" s="62"/>
      <c r="E25" s="59" t="s">
        <v>197</v>
      </c>
      <c r="F25" s="38"/>
    </row>
    <row r="26" spans="1:6" x14ac:dyDescent="0.2">
      <c r="A26" s="59" t="s">
        <v>48</v>
      </c>
      <c r="B26" s="62">
        <v>2000</v>
      </c>
      <c r="C26" s="62">
        <v>2000</v>
      </c>
      <c r="D26" s="62"/>
      <c r="E26" s="59" t="s">
        <v>198</v>
      </c>
      <c r="F26" s="44"/>
    </row>
    <row r="27" spans="1:6" x14ac:dyDescent="0.2">
      <c r="A27" s="45" t="s">
        <v>49</v>
      </c>
      <c r="B27" s="46">
        <v>151</v>
      </c>
      <c r="C27" s="46">
        <v>151</v>
      </c>
      <c r="D27" s="62"/>
      <c r="E27" s="50" t="s">
        <v>50</v>
      </c>
      <c r="F27" s="42"/>
    </row>
    <row r="28" spans="1:6" ht="16" x14ac:dyDescent="0.2">
      <c r="A28" s="47" t="s">
        <v>51</v>
      </c>
      <c r="B28" s="62"/>
      <c r="C28" s="62"/>
      <c r="D28" s="62"/>
      <c r="E28" s="59"/>
      <c r="F28" s="38"/>
    </row>
    <row r="29" spans="1:6" x14ac:dyDescent="0.2">
      <c r="A29" s="59" t="s">
        <v>52</v>
      </c>
      <c r="B29" s="62">
        <v>600</v>
      </c>
      <c r="C29" s="62"/>
      <c r="D29" s="62"/>
      <c r="E29" s="59" t="s">
        <v>199</v>
      </c>
      <c r="F29" s="38"/>
    </row>
    <row r="30" spans="1:6" x14ac:dyDescent="0.2">
      <c r="A30" s="59" t="s">
        <v>53</v>
      </c>
      <c r="B30" s="62">
        <v>1000</v>
      </c>
      <c r="C30" s="62"/>
      <c r="D30" s="62"/>
      <c r="E30" s="59"/>
      <c r="F30" s="42"/>
    </row>
    <row r="31" spans="1:6" x14ac:dyDescent="0.2">
      <c r="A31" s="59" t="s">
        <v>200</v>
      </c>
      <c r="B31" s="62">
        <v>100</v>
      </c>
      <c r="C31" s="62"/>
      <c r="D31" s="62"/>
      <c r="E31" s="59"/>
      <c r="F31" s="42"/>
    </row>
    <row r="32" spans="1:6" x14ac:dyDescent="0.2">
      <c r="A32" s="59" t="s">
        <v>54</v>
      </c>
      <c r="B32" s="62">
        <v>5000</v>
      </c>
      <c r="C32" s="62"/>
      <c r="D32" s="62"/>
      <c r="E32" s="59" t="s">
        <v>58</v>
      </c>
      <c r="F32" s="49"/>
    </row>
    <row r="33" spans="1:6" ht="16" x14ac:dyDescent="0.2">
      <c r="A33" s="47" t="s">
        <v>55</v>
      </c>
      <c r="B33" s="62"/>
      <c r="C33" s="62"/>
      <c r="D33" s="62"/>
      <c r="E33" s="59"/>
      <c r="F33" s="49"/>
    </row>
    <row r="34" spans="1:6" x14ac:dyDescent="0.2">
      <c r="A34" s="59" t="s">
        <v>56</v>
      </c>
      <c r="B34" s="62">
        <v>1000</v>
      </c>
      <c r="C34" s="62"/>
      <c r="D34" s="62"/>
      <c r="E34" s="59" t="s">
        <v>272</v>
      </c>
      <c r="F34" s="49"/>
    </row>
    <row r="35" spans="1:6" x14ac:dyDescent="0.2">
      <c r="A35" s="59" t="s">
        <v>57</v>
      </c>
      <c r="B35" s="62">
        <v>200</v>
      </c>
      <c r="C35" s="62"/>
      <c r="D35" s="62"/>
      <c r="E35" s="59" t="s">
        <v>201</v>
      </c>
      <c r="F35" s="49"/>
    </row>
    <row r="36" spans="1:6" x14ac:dyDescent="0.2">
      <c r="A36" s="59"/>
      <c r="B36" s="62"/>
      <c r="C36" s="62"/>
      <c r="D36" s="62"/>
      <c r="E36" s="59"/>
      <c r="F36" s="38"/>
    </row>
    <row r="37" spans="1:6" x14ac:dyDescent="0.2">
      <c r="A37" s="56" t="s">
        <v>11</v>
      </c>
      <c r="B37" s="63">
        <f>SUM(B20:B36)</f>
        <v>12261</v>
      </c>
      <c r="C37" s="63">
        <f>SUM(C20:C36)</f>
        <v>2181</v>
      </c>
      <c r="D37" s="63">
        <f>SUM(D20:D36)</f>
        <v>0</v>
      </c>
      <c r="E37" s="56"/>
      <c r="F37" s="38"/>
    </row>
    <row r="38" spans="1:6" x14ac:dyDescent="0.2">
      <c r="A38" s="59"/>
      <c r="B38" s="59"/>
      <c r="C38" s="59"/>
      <c r="D38" s="59"/>
      <c r="E38" s="59"/>
      <c r="F38" s="38"/>
    </row>
    <row r="39" spans="1:6" ht="21" x14ac:dyDescent="0.25">
      <c r="A39" s="61" t="s">
        <v>12</v>
      </c>
      <c r="B39" s="64">
        <f>B37-B16</f>
        <v>11761</v>
      </c>
      <c r="C39" s="64">
        <f>C16-C37</f>
        <v>-581</v>
      </c>
      <c r="D39" s="55"/>
      <c r="E39" s="55"/>
      <c r="F39" s="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A16" sqref="A16"/>
    </sheetView>
  </sheetViews>
  <sheetFormatPr baseColWidth="10" defaultColWidth="8.83203125" defaultRowHeight="15" x14ac:dyDescent="0.2"/>
  <cols>
    <col min="1" max="1" width="48.6640625" customWidth="1"/>
    <col min="2" max="2" width="21" customWidth="1"/>
    <col min="3" max="3" width="14.33203125" customWidth="1"/>
    <col min="4" max="4" width="25" customWidth="1"/>
    <col min="5" max="5" width="48.5" customWidth="1"/>
  </cols>
  <sheetData>
    <row r="1" spans="1:5" ht="26" x14ac:dyDescent="0.3">
      <c r="A1" s="57" t="s">
        <v>0</v>
      </c>
      <c r="B1" s="54"/>
      <c r="C1" s="54"/>
      <c r="D1" s="54"/>
      <c r="E1" s="54"/>
    </row>
    <row r="2" spans="1:5" ht="26" x14ac:dyDescent="0.3">
      <c r="A2" s="58" t="s">
        <v>1</v>
      </c>
      <c r="B2" s="54"/>
      <c r="C2" s="54"/>
      <c r="D2" s="54"/>
      <c r="E2" s="54"/>
    </row>
    <row r="3" spans="1:5" x14ac:dyDescent="0.2">
      <c r="A3" s="54" t="s">
        <v>70</v>
      </c>
      <c r="B3" s="54"/>
      <c r="C3" s="54"/>
      <c r="D3" s="54"/>
      <c r="E3" s="54"/>
    </row>
    <row r="4" spans="1:5" x14ac:dyDescent="0.2">
      <c r="A4" s="43">
        <v>42278</v>
      </c>
      <c r="B4" s="54"/>
      <c r="C4" s="54"/>
      <c r="D4" s="54"/>
      <c r="E4" s="54"/>
    </row>
    <row r="6" spans="1:5" ht="21" x14ac:dyDescent="0.25">
      <c r="A6" s="65" t="s">
        <v>3</v>
      </c>
      <c r="B6" s="51"/>
      <c r="C6" s="51"/>
      <c r="D6" s="51"/>
      <c r="E6" s="51"/>
    </row>
    <row r="7" spans="1:5" x14ac:dyDescent="0.2">
      <c r="A7" s="66" t="s">
        <v>4</v>
      </c>
      <c r="B7" s="66" t="s">
        <v>5</v>
      </c>
      <c r="C7" s="66" t="s">
        <v>6</v>
      </c>
      <c r="D7" s="66" t="s">
        <v>7</v>
      </c>
      <c r="E7" s="66" t="s">
        <v>8</v>
      </c>
    </row>
    <row r="8" spans="1:5" x14ac:dyDescent="0.2">
      <c r="A8" s="59" t="s">
        <v>60</v>
      </c>
      <c r="B8" s="62">
        <v>20000</v>
      </c>
      <c r="C8" s="62"/>
      <c r="D8" s="62"/>
      <c r="E8" s="59" t="s">
        <v>274</v>
      </c>
    </row>
    <row r="9" spans="1:5" x14ac:dyDescent="0.2">
      <c r="A9" s="59" t="s">
        <v>275</v>
      </c>
      <c r="B9" s="62">
        <v>2500</v>
      </c>
      <c r="C9" s="62"/>
      <c r="D9" s="62"/>
      <c r="E9" s="59"/>
    </row>
    <row r="10" spans="1:5" x14ac:dyDescent="0.2">
      <c r="A10" s="59" t="s">
        <v>61</v>
      </c>
      <c r="B10" s="62">
        <v>2200</v>
      </c>
      <c r="C10" s="62"/>
      <c r="D10" s="62"/>
      <c r="E10" s="59"/>
    </row>
    <row r="11" spans="1:5" x14ac:dyDescent="0.2">
      <c r="A11" s="59" t="s">
        <v>62</v>
      </c>
      <c r="B11" s="62">
        <v>1800</v>
      </c>
      <c r="C11" s="62"/>
      <c r="D11" s="62"/>
      <c r="E11" s="59"/>
    </row>
    <row r="12" spans="1:5" x14ac:dyDescent="0.2">
      <c r="A12" s="56" t="s">
        <v>9</v>
      </c>
      <c r="B12" s="63">
        <f>SUM(B8:B11)</f>
        <v>26500</v>
      </c>
      <c r="C12" s="63">
        <v>0</v>
      </c>
      <c r="D12" s="63"/>
      <c r="E12" s="96"/>
    </row>
    <row r="14" spans="1:5" ht="21" x14ac:dyDescent="0.25">
      <c r="A14" s="53" t="s">
        <v>10</v>
      </c>
      <c r="B14" s="60"/>
      <c r="C14" s="60"/>
      <c r="D14" s="60"/>
      <c r="E14" s="60"/>
    </row>
    <row r="15" spans="1:5" x14ac:dyDescent="0.2">
      <c r="A15" s="52" t="s">
        <v>4</v>
      </c>
      <c r="B15" s="52" t="s">
        <v>5</v>
      </c>
      <c r="C15" s="52" t="s">
        <v>6</v>
      </c>
      <c r="D15" s="52" t="s">
        <v>7</v>
      </c>
      <c r="E15" s="52" t="s">
        <v>8</v>
      </c>
    </row>
    <row r="16" spans="1:5" x14ac:dyDescent="0.2">
      <c r="A16" s="59" t="s">
        <v>63</v>
      </c>
      <c r="B16" s="62">
        <v>2110</v>
      </c>
      <c r="C16" s="62"/>
      <c r="D16" s="62"/>
      <c r="E16" s="59" t="s">
        <v>64</v>
      </c>
    </row>
    <row r="17" spans="1:5" x14ac:dyDescent="0.2">
      <c r="A17" s="59" t="s">
        <v>65</v>
      </c>
      <c r="B17" s="62">
        <v>3000</v>
      </c>
      <c r="C17" s="62"/>
      <c r="D17" s="62"/>
      <c r="E17" s="59" t="s">
        <v>66</v>
      </c>
    </row>
    <row r="18" spans="1:5" x14ac:dyDescent="0.2">
      <c r="A18" s="59" t="s">
        <v>67</v>
      </c>
      <c r="B18" s="62">
        <v>0</v>
      </c>
      <c r="C18" s="62"/>
      <c r="D18" s="62"/>
      <c r="E18" s="59" t="s">
        <v>68</v>
      </c>
    </row>
    <row r="19" spans="1:5" x14ac:dyDescent="0.2">
      <c r="A19" s="59" t="s">
        <v>69</v>
      </c>
      <c r="B19" s="62">
        <v>700</v>
      </c>
      <c r="C19" s="62"/>
      <c r="D19" s="62"/>
      <c r="E19" s="59" t="s">
        <v>202</v>
      </c>
    </row>
    <row r="20" spans="1:5" x14ac:dyDescent="0.2">
      <c r="A20" s="59"/>
      <c r="B20" s="62"/>
      <c r="C20" s="62"/>
      <c r="D20" s="62"/>
      <c r="E20" s="59"/>
    </row>
    <row r="21" spans="1:5" x14ac:dyDescent="0.2">
      <c r="A21" s="59"/>
      <c r="B21" s="62"/>
      <c r="C21" s="62"/>
      <c r="D21" s="62"/>
      <c r="E21" s="59"/>
    </row>
    <row r="22" spans="1:5" x14ac:dyDescent="0.2">
      <c r="A22" s="59"/>
      <c r="B22" s="62"/>
      <c r="C22" s="62"/>
      <c r="D22" s="62"/>
      <c r="E22" s="59"/>
    </row>
    <row r="23" spans="1:5" x14ac:dyDescent="0.2">
      <c r="A23" s="56" t="s">
        <v>11</v>
      </c>
      <c r="B23" s="63">
        <f>SUM(B16:B22)</f>
        <v>5810</v>
      </c>
      <c r="C23" s="63">
        <v>0</v>
      </c>
      <c r="D23" s="63"/>
      <c r="E23" s="56"/>
    </row>
    <row r="24" spans="1:5" x14ac:dyDescent="0.2">
      <c r="A24" s="59"/>
      <c r="B24" s="59"/>
      <c r="C24" s="59"/>
      <c r="D24" s="59"/>
      <c r="E24" s="59"/>
    </row>
    <row r="25" spans="1:5" ht="21" x14ac:dyDescent="0.25">
      <c r="A25" s="61" t="s">
        <v>12</v>
      </c>
      <c r="B25" s="64">
        <f>B12-B23</f>
        <v>20690</v>
      </c>
      <c r="C25" s="64">
        <v>0</v>
      </c>
      <c r="D25" s="55"/>
      <c r="E25" s="5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4" workbookViewId="0">
      <selection activeCell="C41" sqref="C41"/>
    </sheetView>
  </sheetViews>
  <sheetFormatPr baseColWidth="10" defaultColWidth="8.83203125" defaultRowHeight="15" x14ac:dyDescent="0.2"/>
  <cols>
    <col min="1" max="1" width="44.5" customWidth="1"/>
    <col min="2" max="2" width="16.33203125" customWidth="1"/>
    <col min="3" max="3" width="16.5" customWidth="1"/>
    <col min="4" max="4" width="14.1640625" customWidth="1"/>
    <col min="5" max="5" width="98.1640625" customWidth="1"/>
  </cols>
  <sheetData>
    <row r="1" spans="1:5" ht="26" x14ac:dyDescent="0.3">
      <c r="A1" s="57" t="s">
        <v>0</v>
      </c>
      <c r="B1" s="54"/>
      <c r="C1" s="54"/>
      <c r="D1" s="54"/>
      <c r="E1" s="54"/>
    </row>
    <row r="2" spans="1:5" ht="26" x14ac:dyDescent="0.3">
      <c r="A2" s="58" t="s">
        <v>1</v>
      </c>
      <c r="B2" s="54"/>
      <c r="C2" s="54"/>
      <c r="D2" s="54"/>
      <c r="E2" s="54"/>
    </row>
    <row r="3" spans="1:5" x14ac:dyDescent="0.2">
      <c r="A3" s="54" t="s">
        <v>217</v>
      </c>
      <c r="B3" s="54"/>
      <c r="C3" s="54"/>
      <c r="D3" s="54"/>
      <c r="E3" s="54"/>
    </row>
    <row r="4" spans="1:5" x14ac:dyDescent="0.2">
      <c r="A4" s="43">
        <v>42278</v>
      </c>
      <c r="B4" s="54"/>
      <c r="C4" s="54"/>
      <c r="D4" s="54"/>
      <c r="E4" s="54"/>
    </row>
    <row r="5" spans="1:5" x14ac:dyDescent="0.2">
      <c r="A5" s="51"/>
      <c r="B5" s="51"/>
      <c r="C5" s="51"/>
      <c r="D5" s="51"/>
      <c r="E5" s="51"/>
    </row>
    <row r="6" spans="1:5" ht="21" x14ac:dyDescent="0.25">
      <c r="A6" s="40" t="s">
        <v>3</v>
      </c>
      <c r="B6" s="51"/>
      <c r="C6" s="51"/>
      <c r="D6" s="51"/>
      <c r="E6" s="51"/>
    </row>
    <row r="7" spans="1:5" x14ac:dyDescent="0.2">
      <c r="A7" s="39" t="s">
        <v>4</v>
      </c>
      <c r="B7" s="39" t="s">
        <v>5</v>
      </c>
      <c r="C7" s="39" t="s">
        <v>6</v>
      </c>
      <c r="D7" s="39" t="s">
        <v>7</v>
      </c>
      <c r="E7" s="39" t="s">
        <v>8</v>
      </c>
    </row>
    <row r="8" spans="1:5" x14ac:dyDescent="0.2">
      <c r="A8" s="59"/>
      <c r="B8" s="70"/>
      <c r="C8" s="70"/>
      <c r="D8" s="70">
        <f>C8-B8</f>
        <v>0</v>
      </c>
      <c r="E8" s="59"/>
    </row>
    <row r="9" spans="1:5" x14ac:dyDescent="0.2">
      <c r="A9" s="59"/>
      <c r="B9" s="70"/>
      <c r="C9" s="70"/>
      <c r="D9" s="70">
        <f t="shared" ref="D9:D15" si="0">C9-B9</f>
        <v>0</v>
      </c>
      <c r="E9" s="59"/>
    </row>
    <row r="10" spans="1:5" x14ac:dyDescent="0.2">
      <c r="A10" s="59"/>
      <c r="B10" s="70"/>
      <c r="C10" s="70"/>
      <c r="D10" s="70">
        <f t="shared" si="0"/>
        <v>0</v>
      </c>
      <c r="E10" s="59"/>
    </row>
    <row r="11" spans="1:5" x14ac:dyDescent="0.2">
      <c r="A11" s="59"/>
      <c r="B11" s="70"/>
      <c r="C11" s="70"/>
      <c r="D11" s="70">
        <f t="shared" si="0"/>
        <v>0</v>
      </c>
      <c r="E11" s="59"/>
    </row>
    <row r="12" spans="1:5" x14ac:dyDescent="0.2">
      <c r="A12" s="59"/>
      <c r="B12" s="70"/>
      <c r="C12" s="70"/>
      <c r="D12" s="70">
        <f t="shared" si="0"/>
        <v>0</v>
      </c>
      <c r="E12" s="59"/>
    </row>
    <row r="13" spans="1:5" x14ac:dyDescent="0.2">
      <c r="A13" s="59"/>
      <c r="B13" s="70"/>
      <c r="C13" s="70"/>
      <c r="D13" s="70">
        <f t="shared" si="0"/>
        <v>0</v>
      </c>
      <c r="E13" s="59"/>
    </row>
    <row r="14" spans="1:5" x14ac:dyDescent="0.2">
      <c r="A14" s="59"/>
      <c r="B14" s="70"/>
      <c r="C14" s="70"/>
      <c r="D14" s="70">
        <f t="shared" si="0"/>
        <v>0</v>
      </c>
      <c r="E14" s="59"/>
    </row>
    <row r="15" spans="1:5" x14ac:dyDescent="0.2">
      <c r="A15" s="59"/>
      <c r="B15" s="70"/>
      <c r="C15" s="70"/>
      <c r="D15" s="70">
        <f t="shared" si="0"/>
        <v>0</v>
      </c>
      <c r="E15" s="59"/>
    </row>
    <row r="16" spans="1:5" x14ac:dyDescent="0.2">
      <c r="A16" s="56" t="s">
        <v>9</v>
      </c>
      <c r="B16" s="69">
        <f>SUM(B8:B15)</f>
        <v>0</v>
      </c>
      <c r="C16" s="69">
        <f>SUM(C8:C15)</f>
        <v>0</v>
      </c>
      <c r="D16" s="69">
        <f>SUM(D8:D15)</f>
        <v>0</v>
      </c>
      <c r="E16" s="56"/>
    </row>
    <row r="17" spans="1:5" x14ac:dyDescent="0.2">
      <c r="A17" s="68"/>
      <c r="B17" s="68"/>
      <c r="C17" s="68"/>
      <c r="D17" s="68"/>
      <c r="E17" s="68"/>
    </row>
    <row r="18" spans="1:5" ht="21" x14ac:dyDescent="0.25">
      <c r="A18" s="53" t="s">
        <v>10</v>
      </c>
      <c r="B18" s="60"/>
      <c r="C18" s="60"/>
      <c r="D18" s="60"/>
      <c r="E18" s="60"/>
    </row>
    <row r="19" spans="1:5" x14ac:dyDescent="0.2">
      <c r="A19" s="52" t="s">
        <v>4</v>
      </c>
      <c r="B19" s="52" t="s">
        <v>5</v>
      </c>
      <c r="C19" s="52" t="s">
        <v>6</v>
      </c>
      <c r="D19" s="52" t="s">
        <v>7</v>
      </c>
      <c r="E19" s="52" t="s">
        <v>8</v>
      </c>
    </row>
    <row r="20" spans="1:5" x14ac:dyDescent="0.2">
      <c r="A20" s="59" t="s">
        <v>203</v>
      </c>
      <c r="B20" s="70">
        <v>8259.2099999999991</v>
      </c>
      <c r="C20" s="70">
        <v>8259.2099999999991</v>
      </c>
      <c r="D20" s="70"/>
      <c r="E20" s="59"/>
    </row>
    <row r="21" spans="1:5" x14ac:dyDescent="0.2">
      <c r="A21" s="59" t="s">
        <v>71</v>
      </c>
      <c r="B21" s="70">
        <v>3224.71</v>
      </c>
      <c r="C21" s="70">
        <v>3224.71</v>
      </c>
      <c r="D21" s="70"/>
      <c r="E21" s="59"/>
    </row>
    <row r="22" spans="1:5" x14ac:dyDescent="0.2">
      <c r="A22" s="59" t="s">
        <v>204</v>
      </c>
      <c r="B22" s="70">
        <f>75*8</f>
        <v>600</v>
      </c>
      <c r="C22" s="70">
        <f>107*8</f>
        <v>856</v>
      </c>
      <c r="D22" s="70"/>
      <c r="E22" s="59" t="s">
        <v>288</v>
      </c>
    </row>
    <row r="23" spans="1:5" x14ac:dyDescent="0.2">
      <c r="A23" s="59" t="s">
        <v>205</v>
      </c>
      <c r="B23" s="70">
        <v>1200</v>
      </c>
      <c r="C23" s="70">
        <v>1200</v>
      </c>
      <c r="D23" s="70"/>
      <c r="E23" s="59" t="s">
        <v>206</v>
      </c>
    </row>
    <row r="24" spans="1:5" x14ac:dyDescent="0.2">
      <c r="A24" s="59" t="s">
        <v>72</v>
      </c>
      <c r="B24" s="70">
        <v>900</v>
      </c>
      <c r="C24" s="70">
        <v>900</v>
      </c>
      <c r="D24" s="70"/>
      <c r="E24" s="59"/>
    </row>
    <row r="25" spans="1:5" x14ac:dyDescent="0.2">
      <c r="A25" s="59" t="s">
        <v>207</v>
      </c>
      <c r="B25" s="70">
        <v>450</v>
      </c>
      <c r="C25" s="70">
        <v>450</v>
      </c>
      <c r="D25" s="70"/>
      <c r="E25" s="59"/>
    </row>
    <row r="26" spans="1:5" x14ac:dyDescent="0.2">
      <c r="A26" s="59" t="s">
        <v>73</v>
      </c>
      <c r="B26" s="70">
        <v>810</v>
      </c>
      <c r="C26" s="70">
        <v>710</v>
      </c>
      <c r="D26" s="70"/>
      <c r="E26" s="59" t="s">
        <v>208</v>
      </c>
    </row>
    <row r="27" spans="1:5" x14ac:dyDescent="0.2">
      <c r="A27" s="59" t="s">
        <v>74</v>
      </c>
      <c r="B27" s="70">
        <v>1000</v>
      </c>
      <c r="C27" s="70">
        <v>1000</v>
      </c>
      <c r="D27" s="70"/>
      <c r="E27" s="59" t="s">
        <v>209</v>
      </c>
    </row>
    <row r="28" spans="1:5" x14ac:dyDescent="0.2">
      <c r="A28" s="59" t="s">
        <v>210</v>
      </c>
      <c r="B28" s="70">
        <v>106</v>
      </c>
      <c r="C28" s="70">
        <v>106</v>
      </c>
      <c r="D28" s="70"/>
      <c r="E28" s="59" t="s">
        <v>289</v>
      </c>
    </row>
    <row r="29" spans="1:5" x14ac:dyDescent="0.2">
      <c r="A29" s="59" t="s">
        <v>211</v>
      </c>
      <c r="B29" s="70">
        <v>110</v>
      </c>
      <c r="C29" s="70"/>
      <c r="D29" s="70"/>
      <c r="E29" s="59"/>
    </row>
    <row r="30" spans="1:5" x14ac:dyDescent="0.2">
      <c r="A30" s="59" t="s">
        <v>212</v>
      </c>
      <c r="B30" s="70">
        <f>12*12*1.15</f>
        <v>165.6</v>
      </c>
      <c r="C30" s="70">
        <v>165.6</v>
      </c>
      <c r="D30" s="70"/>
      <c r="E30" s="59"/>
    </row>
    <row r="31" spans="1:5" x14ac:dyDescent="0.2">
      <c r="A31" s="59" t="s">
        <v>213</v>
      </c>
      <c r="B31" s="70">
        <v>600</v>
      </c>
      <c r="C31" s="70"/>
      <c r="D31" s="70"/>
      <c r="E31" s="59" t="s">
        <v>214</v>
      </c>
    </row>
    <row r="32" spans="1:5" x14ac:dyDescent="0.2">
      <c r="A32" s="59" t="s">
        <v>75</v>
      </c>
      <c r="B32" s="70">
        <v>600</v>
      </c>
      <c r="C32" s="70"/>
      <c r="D32" s="70"/>
      <c r="E32" s="59"/>
    </row>
    <row r="33" spans="1:5" x14ac:dyDescent="0.2">
      <c r="A33" s="59" t="s">
        <v>215</v>
      </c>
      <c r="B33" s="70">
        <v>500</v>
      </c>
      <c r="C33" s="70">
        <v>0</v>
      </c>
      <c r="D33" s="70"/>
      <c r="E33" s="59"/>
    </row>
    <row r="34" spans="1:5" x14ac:dyDescent="0.2">
      <c r="A34" s="59" t="s">
        <v>216</v>
      </c>
      <c r="B34" s="70">
        <v>2000</v>
      </c>
      <c r="C34" s="70">
        <v>1500</v>
      </c>
      <c r="D34" s="70"/>
      <c r="E34" s="59" t="s">
        <v>290</v>
      </c>
    </row>
    <row r="35" spans="1:5" x14ac:dyDescent="0.2">
      <c r="A35" s="59" t="s">
        <v>76</v>
      </c>
      <c r="B35" s="70">
        <v>500</v>
      </c>
      <c r="C35" s="70"/>
      <c r="D35" s="70"/>
      <c r="E35" s="59"/>
    </row>
    <row r="36" spans="1:5" x14ac:dyDescent="0.2">
      <c r="A36" s="59"/>
      <c r="B36" s="70"/>
      <c r="C36" s="70"/>
      <c r="D36" s="70"/>
      <c r="E36" s="59"/>
    </row>
    <row r="37" spans="1:5" x14ac:dyDescent="0.2">
      <c r="A37" s="56" t="s">
        <v>11</v>
      </c>
      <c r="B37" s="69">
        <f>SUM(B20:B36)</f>
        <v>21025.519999999997</v>
      </c>
      <c r="C37" s="69">
        <f>SUM(C20:C36)</f>
        <v>18371.519999999997</v>
      </c>
      <c r="D37" s="69">
        <f>SUM(D20:D36)</f>
        <v>0</v>
      </c>
      <c r="E37" s="56"/>
    </row>
    <row r="38" spans="1:5" x14ac:dyDescent="0.2">
      <c r="A38" s="59"/>
      <c r="B38" s="59"/>
      <c r="C38" s="59"/>
      <c r="D38" s="59"/>
      <c r="E38" s="59"/>
    </row>
    <row r="39" spans="1:5" ht="21" x14ac:dyDescent="0.25">
      <c r="A39" s="61" t="s">
        <v>12</v>
      </c>
      <c r="B39" s="67">
        <f>B16-B37</f>
        <v>-21025.519999999997</v>
      </c>
      <c r="C39" s="67">
        <f>C16-C37</f>
        <v>-18371.519999999997</v>
      </c>
      <c r="D39" s="55"/>
      <c r="E39" s="55"/>
    </row>
    <row r="40" spans="1:5" x14ac:dyDescent="0.2">
      <c r="A40" s="71"/>
      <c r="B40" s="71"/>
      <c r="C40" s="71"/>
      <c r="D40" s="71"/>
      <c r="E40" s="71"/>
    </row>
    <row r="41" spans="1:5" x14ac:dyDescent="0.2">
      <c r="C41" s="74">
        <f>C24/3+C25/2+C26+750</f>
        <v>1985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="80" zoomScaleNormal="80" zoomScalePageLayoutView="80" workbookViewId="0">
      <selection activeCell="D24" sqref="D24"/>
    </sheetView>
  </sheetViews>
  <sheetFormatPr baseColWidth="10" defaultColWidth="8.83203125" defaultRowHeight="15" x14ac:dyDescent="0.2"/>
  <cols>
    <col min="1" max="1" width="35.83203125" customWidth="1"/>
    <col min="2" max="2" width="25.83203125" customWidth="1"/>
    <col min="3" max="3" width="21.6640625" customWidth="1"/>
    <col min="4" max="4" width="22.5" customWidth="1"/>
    <col min="5" max="5" width="69.5" customWidth="1"/>
  </cols>
  <sheetData>
    <row r="1" spans="1:6" ht="26" x14ac:dyDescent="0.3">
      <c r="A1" s="57" t="s">
        <v>0</v>
      </c>
      <c r="B1" s="54"/>
      <c r="C1" s="54"/>
      <c r="D1" s="54"/>
      <c r="E1" s="54"/>
      <c r="F1" s="51"/>
    </row>
    <row r="2" spans="1:6" ht="26" x14ac:dyDescent="0.3">
      <c r="A2" s="58" t="s">
        <v>1</v>
      </c>
      <c r="B2" s="54"/>
      <c r="C2" s="54"/>
      <c r="D2" s="54"/>
      <c r="E2" s="54"/>
      <c r="F2" s="51"/>
    </row>
    <row r="3" spans="1:6" x14ac:dyDescent="0.2">
      <c r="A3" s="54" t="s">
        <v>221</v>
      </c>
      <c r="B3" s="54"/>
      <c r="C3" s="54"/>
      <c r="D3" s="54"/>
      <c r="E3" s="54"/>
      <c r="F3" s="51"/>
    </row>
    <row r="4" spans="1:6" x14ac:dyDescent="0.2">
      <c r="A4" s="43">
        <v>42278</v>
      </c>
      <c r="B4" s="54"/>
      <c r="C4" s="54"/>
      <c r="D4" s="54"/>
      <c r="E4" s="54"/>
      <c r="F4" s="51"/>
    </row>
    <row r="5" spans="1:6" x14ac:dyDescent="0.2">
      <c r="A5" s="51"/>
      <c r="B5" s="51"/>
      <c r="C5" s="51"/>
      <c r="D5" s="51"/>
      <c r="E5" s="51"/>
      <c r="F5" s="51"/>
    </row>
    <row r="6" spans="1:6" ht="21" x14ac:dyDescent="0.25">
      <c r="A6" s="40" t="s">
        <v>3</v>
      </c>
      <c r="B6" s="51"/>
      <c r="C6" s="51"/>
      <c r="D6" s="51"/>
      <c r="E6" s="51"/>
      <c r="F6" s="51"/>
    </row>
    <row r="7" spans="1:6" ht="20" customHeight="1" x14ac:dyDescent="0.2">
      <c r="A7" s="39" t="s">
        <v>4</v>
      </c>
      <c r="B7" s="39" t="s">
        <v>5</v>
      </c>
      <c r="C7" s="39" t="s">
        <v>6</v>
      </c>
      <c r="D7" s="39" t="s">
        <v>7</v>
      </c>
      <c r="E7" s="39" t="s">
        <v>8</v>
      </c>
      <c r="F7" s="51"/>
    </row>
    <row r="8" spans="1:6" ht="20" customHeight="1" x14ac:dyDescent="0.2">
      <c r="A8" s="59" t="s">
        <v>222</v>
      </c>
      <c r="B8" s="62">
        <v>32210</v>
      </c>
      <c r="C8" s="62"/>
      <c r="D8" s="62"/>
      <c r="E8" s="59"/>
      <c r="F8" s="51"/>
    </row>
    <row r="9" spans="1:6" ht="20" customHeight="1" x14ac:dyDescent="0.2">
      <c r="A9" s="59" t="s">
        <v>224</v>
      </c>
      <c r="B9" s="62">
        <v>7500</v>
      </c>
      <c r="C9" s="62"/>
      <c r="D9" s="62"/>
      <c r="E9" s="59"/>
      <c r="F9" s="51"/>
    </row>
    <row r="10" spans="1:6" ht="20" customHeight="1" x14ac:dyDescent="0.2">
      <c r="A10" s="59" t="s">
        <v>225</v>
      </c>
      <c r="B10" s="62">
        <v>2250</v>
      </c>
      <c r="C10" s="62"/>
      <c r="D10" s="62"/>
      <c r="E10" s="59"/>
      <c r="F10" s="51"/>
    </row>
    <row r="11" spans="1:6" ht="20" customHeight="1" x14ac:dyDescent="0.2">
      <c r="A11" s="59" t="s">
        <v>219</v>
      </c>
      <c r="B11" s="62">
        <v>6000</v>
      </c>
      <c r="C11" s="62"/>
      <c r="D11" s="62"/>
      <c r="E11" s="59"/>
      <c r="F11" s="51"/>
    </row>
    <row r="12" spans="1:6" ht="20" customHeight="1" x14ac:dyDescent="0.2">
      <c r="A12" s="59" t="s">
        <v>99</v>
      </c>
      <c r="B12" s="62">
        <v>3000</v>
      </c>
      <c r="C12" s="62"/>
      <c r="D12" s="62"/>
      <c r="E12" s="59"/>
      <c r="F12" s="51"/>
    </row>
    <row r="13" spans="1:6" ht="20" customHeight="1" x14ac:dyDescent="0.2">
      <c r="A13" s="59"/>
      <c r="B13" s="62"/>
      <c r="C13" s="62"/>
      <c r="D13" s="62"/>
      <c r="E13" s="59"/>
      <c r="F13" s="51"/>
    </row>
    <row r="14" spans="1:6" ht="20" customHeight="1" x14ac:dyDescent="0.2">
      <c r="A14" s="59"/>
      <c r="B14" s="62"/>
      <c r="C14" s="62"/>
      <c r="D14" s="62"/>
      <c r="E14" s="59"/>
      <c r="F14" s="51"/>
    </row>
    <row r="15" spans="1:6" ht="20" customHeight="1" x14ac:dyDescent="0.2">
      <c r="A15" s="59"/>
      <c r="B15" s="62"/>
      <c r="C15" s="62"/>
      <c r="D15" s="62"/>
      <c r="E15" s="59"/>
      <c r="F15" s="51"/>
    </row>
    <row r="16" spans="1:6" ht="20" customHeight="1" x14ac:dyDescent="0.2">
      <c r="A16" s="56" t="s">
        <v>9</v>
      </c>
      <c r="B16" s="63">
        <f>SUM(B8:B15)</f>
        <v>50960</v>
      </c>
      <c r="C16" s="63">
        <f>SUM(C8:C15)</f>
        <v>0</v>
      </c>
      <c r="D16" s="63"/>
      <c r="E16" s="56"/>
      <c r="F16" s="51"/>
    </row>
    <row r="17" spans="1:6" ht="20" customHeight="1" x14ac:dyDescent="0.2">
      <c r="A17" s="41"/>
      <c r="B17" s="41"/>
      <c r="C17" s="41"/>
      <c r="D17" s="41"/>
      <c r="E17" s="41"/>
      <c r="F17" s="51"/>
    </row>
    <row r="18" spans="1:6" ht="20" customHeight="1" x14ac:dyDescent="0.25">
      <c r="A18" s="53" t="s">
        <v>10</v>
      </c>
      <c r="B18" s="60"/>
      <c r="C18" s="60"/>
      <c r="D18" s="60"/>
      <c r="E18" s="60"/>
      <c r="F18" s="51"/>
    </row>
    <row r="19" spans="1:6" ht="20" customHeight="1" x14ac:dyDescent="0.2">
      <c r="A19" s="52" t="s">
        <v>4</v>
      </c>
      <c r="B19" s="52" t="s">
        <v>5</v>
      </c>
      <c r="C19" s="52" t="s">
        <v>6</v>
      </c>
      <c r="D19" s="52" t="s">
        <v>7</v>
      </c>
      <c r="E19" s="52" t="s">
        <v>8</v>
      </c>
      <c r="F19" s="51"/>
    </row>
    <row r="20" spans="1:6" ht="20" customHeight="1" x14ac:dyDescent="0.2">
      <c r="A20" s="97" t="s">
        <v>223</v>
      </c>
      <c r="B20" s="62">
        <v>32174</v>
      </c>
      <c r="C20" s="62"/>
      <c r="D20" s="62"/>
      <c r="E20" s="59" t="s">
        <v>281</v>
      </c>
      <c r="F20" s="51"/>
    </row>
    <row r="21" spans="1:6" ht="20" customHeight="1" x14ac:dyDescent="0.2">
      <c r="A21" s="5" t="s">
        <v>224</v>
      </c>
      <c r="B21" s="62">
        <v>8278.23</v>
      </c>
      <c r="C21" s="62"/>
      <c r="D21" s="62"/>
      <c r="E21" s="59"/>
      <c r="F21" s="51"/>
    </row>
    <row r="22" spans="1:6" ht="20" customHeight="1" x14ac:dyDescent="0.2">
      <c r="A22" s="59" t="s">
        <v>225</v>
      </c>
      <c r="B22" s="62">
        <v>2250</v>
      </c>
      <c r="C22" s="62"/>
      <c r="D22" s="62"/>
      <c r="E22" s="59" t="s">
        <v>226</v>
      </c>
      <c r="F22" s="51"/>
    </row>
    <row r="23" spans="1:6" ht="20" customHeight="1" x14ac:dyDescent="0.2">
      <c r="A23" s="59" t="s">
        <v>219</v>
      </c>
      <c r="B23" s="62">
        <v>5000</v>
      </c>
      <c r="C23" s="62"/>
      <c r="D23" s="62"/>
      <c r="E23" s="59"/>
      <c r="F23" s="51"/>
    </row>
    <row r="24" spans="1:6" ht="20" customHeight="1" x14ac:dyDescent="0.2">
      <c r="A24" s="59" t="s">
        <v>99</v>
      </c>
      <c r="B24" s="62">
        <v>3000</v>
      </c>
      <c r="C24" s="62"/>
      <c r="D24" s="62"/>
      <c r="E24" s="59"/>
      <c r="F24" s="51"/>
    </row>
    <row r="25" spans="1:6" ht="20" customHeight="1" x14ac:dyDescent="0.2">
      <c r="A25" s="59" t="s">
        <v>220</v>
      </c>
      <c r="B25" s="62">
        <v>450</v>
      </c>
      <c r="C25" s="62"/>
      <c r="D25" s="62"/>
      <c r="E25" s="59" t="s">
        <v>227</v>
      </c>
      <c r="F25" s="51"/>
    </row>
    <row r="26" spans="1:6" ht="20" customHeight="1" x14ac:dyDescent="0.2">
      <c r="A26" s="59"/>
      <c r="B26" s="62"/>
      <c r="C26" s="62"/>
      <c r="D26" s="62"/>
      <c r="E26" s="59"/>
      <c r="F26" s="51"/>
    </row>
    <row r="27" spans="1:6" ht="20" customHeight="1" x14ac:dyDescent="0.2">
      <c r="A27" s="45"/>
      <c r="B27" s="46"/>
      <c r="C27" s="46"/>
      <c r="D27" s="62"/>
      <c r="E27" s="50"/>
      <c r="F27" s="51"/>
    </row>
    <row r="28" spans="1:6" ht="20" customHeight="1" x14ac:dyDescent="0.2">
      <c r="A28" s="47"/>
      <c r="B28" s="62"/>
      <c r="C28" s="62"/>
      <c r="D28" s="62"/>
      <c r="E28" s="59"/>
      <c r="F28" s="51"/>
    </row>
    <row r="29" spans="1:6" ht="20" customHeight="1" x14ac:dyDescent="0.2">
      <c r="A29" s="59"/>
      <c r="B29" s="62"/>
      <c r="C29" s="62"/>
      <c r="D29" s="62"/>
      <c r="E29" s="59"/>
      <c r="F29" s="51"/>
    </row>
    <row r="30" spans="1:6" ht="20" customHeight="1" x14ac:dyDescent="0.2">
      <c r="A30" s="59"/>
      <c r="B30" s="62"/>
      <c r="C30" s="62"/>
      <c r="D30" s="62"/>
      <c r="E30" s="59"/>
      <c r="F30" s="51"/>
    </row>
    <row r="31" spans="1:6" ht="20" customHeight="1" x14ac:dyDescent="0.2">
      <c r="A31" s="59"/>
      <c r="B31" s="62"/>
      <c r="C31" s="62"/>
      <c r="D31" s="62"/>
      <c r="E31" s="59"/>
      <c r="F31" s="51"/>
    </row>
    <row r="32" spans="1:6" ht="20" customHeight="1" x14ac:dyDescent="0.2">
      <c r="A32" s="59"/>
      <c r="B32" s="62"/>
      <c r="C32" s="62"/>
      <c r="D32" s="62"/>
      <c r="E32" s="59"/>
      <c r="F32" s="51"/>
    </row>
    <row r="33" spans="1:6" ht="20" customHeight="1" x14ac:dyDescent="0.2">
      <c r="A33" s="47"/>
      <c r="B33" s="62"/>
      <c r="C33" s="62"/>
      <c r="D33" s="62"/>
      <c r="E33" s="59"/>
      <c r="F33" s="51"/>
    </row>
    <row r="34" spans="1:6" ht="20" customHeight="1" x14ac:dyDescent="0.2">
      <c r="A34" s="59"/>
      <c r="B34" s="62"/>
      <c r="C34" s="62"/>
      <c r="D34" s="62"/>
      <c r="E34" s="59"/>
      <c r="F34" s="51"/>
    </row>
    <row r="35" spans="1:6" ht="20" customHeight="1" x14ac:dyDescent="0.2">
      <c r="A35" s="59"/>
      <c r="B35" s="62"/>
      <c r="C35" s="62"/>
      <c r="D35" s="62"/>
      <c r="E35" s="59"/>
    </row>
    <row r="36" spans="1:6" ht="20" customHeight="1" x14ac:dyDescent="0.2">
      <c r="A36" s="59"/>
      <c r="B36" s="62"/>
      <c r="C36" s="62"/>
      <c r="D36" s="62"/>
      <c r="E36" s="59"/>
    </row>
    <row r="37" spans="1:6" ht="20" customHeight="1" x14ac:dyDescent="0.2">
      <c r="A37" s="56" t="s">
        <v>11</v>
      </c>
      <c r="B37" s="63">
        <f>SUM(B20:B36)</f>
        <v>51152.229999999996</v>
      </c>
      <c r="C37" s="63">
        <f>SUM(C20:C36)</f>
        <v>0</v>
      </c>
      <c r="D37" s="63">
        <f>SUM(D20:D36)</f>
        <v>0</v>
      </c>
      <c r="E37" s="56"/>
    </row>
    <row r="38" spans="1:6" ht="20" customHeight="1" x14ac:dyDescent="0.2">
      <c r="A38" s="59"/>
      <c r="B38" s="59"/>
      <c r="C38" s="59"/>
      <c r="D38" s="59"/>
      <c r="E38" s="59"/>
    </row>
    <row r="39" spans="1:6" ht="20" customHeight="1" x14ac:dyDescent="0.25">
      <c r="A39" s="61" t="s">
        <v>12</v>
      </c>
      <c r="B39" s="64">
        <f>B37-B16</f>
        <v>192.22999999999593</v>
      </c>
      <c r="C39" s="64">
        <f>C16-C37</f>
        <v>0</v>
      </c>
      <c r="D39" s="55"/>
      <c r="E39" s="55"/>
    </row>
    <row r="40" spans="1:6" ht="20" customHeight="1" x14ac:dyDescent="0.2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19" sqref="B19"/>
    </sheetView>
  </sheetViews>
  <sheetFormatPr baseColWidth="10" defaultColWidth="8.83203125" defaultRowHeight="15" x14ac:dyDescent="0.2"/>
  <cols>
    <col min="1" max="1" width="49.6640625" customWidth="1"/>
    <col min="2" max="2" width="15.83203125" customWidth="1"/>
    <col min="3" max="3" width="16.1640625" customWidth="1"/>
    <col min="4" max="4" width="22.33203125" customWidth="1"/>
    <col min="5" max="5" width="43.1640625" customWidth="1"/>
  </cols>
  <sheetData>
    <row r="1" spans="1:7" ht="26" x14ac:dyDescent="0.3">
      <c r="A1" s="57" t="s">
        <v>0</v>
      </c>
      <c r="B1" s="54"/>
      <c r="C1" s="54"/>
      <c r="D1" s="54"/>
      <c r="E1" s="54"/>
      <c r="F1" s="51"/>
      <c r="G1" s="51"/>
    </row>
    <row r="2" spans="1:7" ht="26" x14ac:dyDescent="0.3">
      <c r="A2" s="58" t="s">
        <v>1</v>
      </c>
      <c r="B2" s="54"/>
      <c r="C2" s="54"/>
      <c r="D2" s="54"/>
      <c r="E2" s="54"/>
      <c r="F2" s="51"/>
      <c r="G2" s="51"/>
    </row>
    <row r="3" spans="1:7" x14ac:dyDescent="0.2">
      <c r="A3" s="54" t="s">
        <v>2</v>
      </c>
      <c r="B3" s="54"/>
      <c r="C3" s="54"/>
      <c r="D3" s="54"/>
      <c r="E3" s="54"/>
      <c r="F3" s="51"/>
      <c r="G3" s="51"/>
    </row>
    <row r="4" spans="1:7" x14ac:dyDescent="0.2">
      <c r="A4" s="43">
        <v>41579</v>
      </c>
      <c r="B4" s="54"/>
      <c r="C4" s="54"/>
      <c r="D4" s="54"/>
      <c r="E4" s="54"/>
      <c r="F4" s="51"/>
      <c r="G4" s="51"/>
    </row>
    <row r="5" spans="1:7" x14ac:dyDescent="0.2">
      <c r="A5" s="51"/>
      <c r="B5" s="51"/>
      <c r="C5" s="51"/>
      <c r="D5" s="51"/>
      <c r="E5" s="51"/>
      <c r="F5" s="51"/>
      <c r="G5" s="51"/>
    </row>
    <row r="6" spans="1:7" ht="21" x14ac:dyDescent="0.25">
      <c r="A6" s="40" t="s">
        <v>3</v>
      </c>
      <c r="B6" s="51"/>
      <c r="C6" s="51"/>
      <c r="D6" s="51"/>
      <c r="E6" s="51"/>
      <c r="F6" s="51"/>
      <c r="G6" s="51"/>
    </row>
    <row r="7" spans="1:7" x14ac:dyDescent="0.2">
      <c r="A7" s="39" t="s">
        <v>4</v>
      </c>
      <c r="B7" s="39" t="s">
        <v>5</v>
      </c>
      <c r="C7" s="39" t="s">
        <v>6</v>
      </c>
      <c r="D7" s="39" t="s">
        <v>7</v>
      </c>
      <c r="E7" s="39" t="s">
        <v>8</v>
      </c>
      <c r="F7" s="51"/>
      <c r="G7" s="51"/>
    </row>
    <row r="8" spans="1:7" x14ac:dyDescent="0.2">
      <c r="A8" s="59"/>
      <c r="B8" s="70"/>
      <c r="C8" s="70"/>
      <c r="D8" s="70"/>
      <c r="E8" s="59"/>
      <c r="F8" s="51"/>
      <c r="G8" s="51"/>
    </row>
    <row r="9" spans="1:7" x14ac:dyDescent="0.2">
      <c r="A9" s="59"/>
      <c r="B9" s="70"/>
      <c r="C9" s="70"/>
      <c r="D9" s="70"/>
      <c r="E9" s="59"/>
      <c r="F9" s="51"/>
      <c r="G9" s="51"/>
    </row>
    <row r="10" spans="1:7" x14ac:dyDescent="0.2">
      <c r="A10" s="59"/>
      <c r="B10" s="70"/>
      <c r="C10" s="70"/>
      <c r="D10" s="70"/>
      <c r="E10" s="59"/>
      <c r="F10" s="51"/>
      <c r="G10" s="51"/>
    </row>
    <row r="11" spans="1:7" x14ac:dyDescent="0.2">
      <c r="A11" s="59"/>
      <c r="B11" s="70"/>
      <c r="C11" s="70"/>
      <c r="D11" s="70"/>
      <c r="E11" s="59"/>
      <c r="F11" s="51"/>
      <c r="G11" s="51"/>
    </row>
    <row r="12" spans="1:7" x14ac:dyDescent="0.2">
      <c r="A12" s="59"/>
      <c r="B12" s="70"/>
      <c r="C12" s="70"/>
      <c r="D12" s="70"/>
      <c r="E12" s="59"/>
      <c r="F12" s="51"/>
      <c r="G12" s="51"/>
    </row>
    <row r="13" spans="1:7" x14ac:dyDescent="0.2">
      <c r="A13" s="59"/>
      <c r="B13" s="70"/>
      <c r="C13" s="70"/>
      <c r="D13" s="70"/>
      <c r="E13" s="59"/>
      <c r="F13" s="51"/>
      <c r="G13" s="51"/>
    </row>
    <row r="14" spans="1:7" x14ac:dyDescent="0.2">
      <c r="A14" s="59"/>
      <c r="B14" s="70"/>
      <c r="C14" s="70"/>
      <c r="D14" s="70"/>
      <c r="E14" s="59"/>
      <c r="F14" s="51"/>
      <c r="G14" s="51"/>
    </row>
    <row r="15" spans="1:7" x14ac:dyDescent="0.2">
      <c r="A15" s="59"/>
      <c r="B15" s="70"/>
      <c r="C15" s="70"/>
      <c r="D15" s="70"/>
      <c r="E15" s="59"/>
      <c r="F15" s="51"/>
      <c r="G15" s="51"/>
    </row>
    <row r="16" spans="1:7" x14ac:dyDescent="0.2">
      <c r="A16" s="56" t="s">
        <v>9</v>
      </c>
      <c r="B16" s="69"/>
      <c r="C16" s="69"/>
      <c r="D16" s="69"/>
      <c r="E16" s="56"/>
      <c r="F16" s="51"/>
      <c r="G16" s="51"/>
    </row>
    <row r="17" spans="1:7" x14ac:dyDescent="0.2">
      <c r="A17" s="68"/>
      <c r="B17" s="68"/>
      <c r="C17" s="68"/>
      <c r="D17" s="68"/>
      <c r="E17" s="68"/>
      <c r="F17" s="51"/>
      <c r="G17" s="51"/>
    </row>
    <row r="18" spans="1:7" ht="21" x14ac:dyDescent="0.25">
      <c r="A18" s="53" t="s">
        <v>10</v>
      </c>
      <c r="B18" s="60"/>
      <c r="C18" s="60"/>
      <c r="D18" s="60"/>
      <c r="E18" s="60"/>
      <c r="F18" s="51"/>
      <c r="G18" s="51"/>
    </row>
    <row r="19" spans="1:7" x14ac:dyDescent="0.2">
      <c r="A19" s="52" t="s">
        <v>4</v>
      </c>
      <c r="B19" s="52" t="s">
        <v>5</v>
      </c>
      <c r="C19" s="52" t="s">
        <v>6</v>
      </c>
      <c r="D19" s="52" t="s">
        <v>7</v>
      </c>
      <c r="E19" s="52" t="s">
        <v>8</v>
      </c>
      <c r="F19" s="51"/>
      <c r="G19" s="51"/>
    </row>
    <row r="20" spans="1:7" x14ac:dyDescent="0.2">
      <c r="A20" s="59" t="s">
        <v>119</v>
      </c>
      <c r="B20" s="70">
        <f>650*3</f>
        <v>1950</v>
      </c>
      <c r="C20" s="70">
        <v>3385.54</v>
      </c>
      <c r="D20" s="70"/>
      <c r="E20" s="59" t="s">
        <v>302</v>
      </c>
      <c r="F20" s="51"/>
      <c r="G20" s="51"/>
    </row>
    <row r="21" spans="1:7" x14ac:dyDescent="0.2">
      <c r="A21" s="59" t="s">
        <v>120</v>
      </c>
      <c r="B21" s="70">
        <v>1000</v>
      </c>
      <c r="C21" s="70">
        <v>0</v>
      </c>
      <c r="D21" s="70"/>
      <c r="E21" s="59" t="s">
        <v>303</v>
      </c>
      <c r="F21" s="51"/>
      <c r="G21" s="51"/>
    </row>
    <row r="22" spans="1:7" x14ac:dyDescent="0.2">
      <c r="A22" s="59" t="s">
        <v>187</v>
      </c>
      <c r="B22" s="70">
        <v>1507.53</v>
      </c>
      <c r="C22" s="70">
        <f>1023.38/10 *12</f>
        <v>1228.056</v>
      </c>
      <c r="D22" s="70"/>
      <c r="E22" s="59" t="s">
        <v>121</v>
      </c>
      <c r="F22" s="51"/>
      <c r="G22" s="51"/>
    </row>
    <row r="23" spans="1:7" x14ac:dyDescent="0.2">
      <c r="A23" s="59" t="s">
        <v>188</v>
      </c>
      <c r="B23" s="70">
        <f>300</f>
        <v>300</v>
      </c>
      <c r="C23" s="70">
        <v>300</v>
      </c>
      <c r="D23" s="70"/>
      <c r="E23" s="59" t="s">
        <v>125</v>
      </c>
      <c r="F23" s="51"/>
      <c r="G23" s="51"/>
    </row>
    <row r="24" spans="1:7" x14ac:dyDescent="0.2">
      <c r="A24" s="59" t="s">
        <v>186</v>
      </c>
      <c r="B24" s="70">
        <f>'Summer Spending(for breakdown)'!B24</f>
        <v>8182.1500000000005</v>
      </c>
      <c r="C24" s="70">
        <v>8182.15</v>
      </c>
      <c r="D24" s="70"/>
      <c r="E24" s="59" t="s">
        <v>189</v>
      </c>
      <c r="F24" s="51"/>
      <c r="G24" s="51"/>
    </row>
    <row r="25" spans="1:7" x14ac:dyDescent="0.2">
      <c r="A25" s="59"/>
      <c r="B25" s="70"/>
      <c r="C25" s="70"/>
      <c r="D25" s="70"/>
      <c r="E25" s="59"/>
      <c r="F25" s="51"/>
      <c r="G25" s="51"/>
    </row>
    <row r="26" spans="1:7" x14ac:dyDescent="0.2">
      <c r="A26" s="56" t="s">
        <v>11</v>
      </c>
      <c r="B26" s="69">
        <f>SUM(B20:B25)</f>
        <v>12939.68</v>
      </c>
      <c r="C26" s="69">
        <f>SUM(C20:C24)</f>
        <v>13095.745999999999</v>
      </c>
      <c r="D26" s="69"/>
      <c r="E26" s="56"/>
      <c r="F26" s="51"/>
      <c r="G26" s="51"/>
    </row>
    <row r="27" spans="1:7" x14ac:dyDescent="0.2">
      <c r="A27" s="59"/>
      <c r="B27" s="59"/>
      <c r="C27" s="59"/>
      <c r="D27" s="59"/>
      <c r="E27" s="59"/>
      <c r="F27" s="51"/>
      <c r="G27" s="51"/>
    </row>
    <row r="28" spans="1:7" ht="21" x14ac:dyDescent="0.25">
      <c r="A28" s="61" t="s">
        <v>12</v>
      </c>
      <c r="B28" s="67">
        <f>B16-B26</f>
        <v>-12939.68</v>
      </c>
      <c r="C28" s="67"/>
      <c r="D28" s="55"/>
      <c r="E28" s="55"/>
      <c r="F28" s="51"/>
      <c r="G28" s="51"/>
    </row>
    <row r="29" spans="1:7" x14ac:dyDescent="0.2">
      <c r="A29" s="51"/>
      <c r="B29" s="51"/>
      <c r="C29" s="51"/>
      <c r="D29" s="51"/>
      <c r="E29" s="51"/>
      <c r="F29" s="51"/>
      <c r="G29" s="51"/>
    </row>
    <row r="30" spans="1:7" x14ac:dyDescent="0.2">
      <c r="F30" s="51"/>
      <c r="G30" s="51"/>
    </row>
    <row r="31" spans="1:7" x14ac:dyDescent="0.2">
      <c r="F31" s="51"/>
      <c r="G31" s="51"/>
    </row>
    <row r="32" spans="1:7" x14ac:dyDescent="0.2">
      <c r="F32" s="51"/>
      <c r="G32" s="51"/>
    </row>
    <row r="33" spans="6:7" x14ac:dyDescent="0.2">
      <c r="F33" s="51"/>
      <c r="G33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AUS Operating</vt:lpstr>
      <vt:lpstr>President</vt:lpstr>
      <vt:lpstr>VP Finance</vt:lpstr>
      <vt:lpstr>VP Academic</vt:lpstr>
      <vt:lpstr>VP Internal</vt:lpstr>
      <vt:lpstr>VP External</vt:lpstr>
      <vt:lpstr>VP Communications</vt:lpstr>
      <vt:lpstr>VP Social</vt:lpstr>
      <vt:lpstr>Office Expenses</vt:lpstr>
      <vt:lpstr>Summer Spending(for breakdown)</vt:lpstr>
      <vt:lpstr>Exec Spending(for breakdown)</vt:lpstr>
      <vt:lpstr>Allocations Departments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Xue</dc:creator>
  <cp:lastModifiedBy>Microsoft Office User</cp:lastModifiedBy>
  <dcterms:created xsi:type="dcterms:W3CDTF">2014-11-12T23:53:48Z</dcterms:created>
  <dcterms:modified xsi:type="dcterms:W3CDTF">2016-11-02T19:27:05Z</dcterms:modified>
</cp:coreProperties>
</file>