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224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AUS/Common/Finance/Noah Lew (2017-2018)/Budget/"/>
    </mc:Choice>
  </mc:AlternateContent>
  <bookViews>
    <workbookView xWindow="80" yWindow="460" windowWidth="25300" windowHeight="14280" tabRatio="933" activeTab="5"/>
  </bookViews>
  <sheets>
    <sheet name="AUS Operating" sheetId="21" r:id="rId1"/>
    <sheet name="President" sheetId="26" r:id="rId2"/>
    <sheet name="VP Finance" sheetId="22" r:id="rId3"/>
    <sheet name="VP External" sheetId="37" r:id="rId4"/>
    <sheet name="VP Academic" sheetId="23" r:id="rId5"/>
    <sheet name="VP Internal" sheetId="25" r:id="rId6"/>
    <sheet name="VP Communications" sheetId="1" r:id="rId7"/>
    <sheet name="VP Social" sheetId="32" r:id="rId8"/>
    <sheet name="Office Expenses" sheetId="33" r:id="rId9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1" l="1"/>
  <c r="B16" i="21"/>
  <c r="B18" i="21"/>
  <c r="B20" i="21"/>
  <c r="C20" i="21"/>
  <c r="C22" i="21"/>
  <c r="B28" i="21"/>
  <c r="C28" i="21"/>
  <c r="C33" i="21"/>
  <c r="B35" i="21"/>
  <c r="B44" i="21"/>
  <c r="C44" i="21"/>
  <c r="B45" i="21"/>
  <c r="B46" i="21"/>
  <c r="B47" i="21"/>
  <c r="B48" i="21"/>
  <c r="B49" i="21"/>
  <c r="B50" i="21"/>
  <c r="C51" i="21"/>
  <c r="B54" i="21"/>
  <c r="B55" i="21"/>
  <c r="C58" i="21"/>
  <c r="B61" i="21"/>
  <c r="C61" i="21"/>
  <c r="B63" i="21"/>
  <c r="C63" i="21"/>
  <c r="B65" i="21"/>
  <c r="D10" i="21"/>
  <c r="D35" i="21"/>
  <c r="D36" i="21"/>
  <c r="D34" i="21"/>
  <c r="D11" i="21"/>
  <c r="D18" i="21"/>
  <c r="D35" i="1"/>
  <c r="D16" i="25"/>
  <c r="D16" i="21"/>
  <c r="D14" i="32"/>
  <c r="D20" i="21"/>
  <c r="D60" i="21"/>
  <c r="D37" i="21"/>
  <c r="D36" i="25"/>
  <c r="D46" i="21"/>
  <c r="D34" i="32"/>
  <c r="D50" i="21"/>
  <c r="E14" i="32"/>
  <c r="E34" i="32"/>
  <c r="E36" i="32"/>
  <c r="D36" i="32"/>
  <c r="E16" i="25"/>
  <c r="E36" i="25"/>
  <c r="E38" i="25"/>
  <c r="D38" i="25"/>
  <c r="D25" i="37"/>
  <c r="D48" i="21"/>
  <c r="D20" i="26"/>
  <c r="D40" i="26"/>
  <c r="D44" i="21"/>
  <c r="D25" i="22"/>
  <c r="D45" i="21"/>
  <c r="E28" i="21"/>
  <c r="E61" i="21"/>
  <c r="E63" i="21"/>
  <c r="D49" i="21"/>
  <c r="D25" i="33"/>
  <c r="D54" i="21"/>
  <c r="D27" i="33"/>
  <c r="E25" i="33"/>
  <c r="E12" i="22"/>
  <c r="E25" i="22"/>
  <c r="E27" i="22"/>
  <c r="D12" i="22"/>
  <c r="D27" i="22"/>
  <c r="F9" i="22"/>
  <c r="F10" i="22"/>
  <c r="F11" i="22"/>
  <c r="F12" i="22"/>
  <c r="F16" i="22"/>
  <c r="F17" i="22"/>
  <c r="B18" i="22"/>
  <c r="F18" i="22"/>
  <c r="F19" i="22"/>
  <c r="F20" i="22"/>
  <c r="F21" i="22"/>
  <c r="F22" i="22"/>
  <c r="F23" i="22"/>
  <c r="F24" i="22"/>
  <c r="F25" i="22"/>
  <c r="D8" i="26"/>
  <c r="D11" i="26"/>
  <c r="D14" i="21"/>
  <c r="D27" i="21"/>
  <c r="E23" i="23"/>
  <c r="E25" i="23"/>
  <c r="D23" i="23"/>
  <c r="D47" i="21"/>
  <c r="D61" i="21"/>
  <c r="D25" i="23"/>
  <c r="E13" i="37"/>
  <c r="D13" i="37"/>
  <c r="E25" i="37"/>
  <c r="E27" i="37"/>
  <c r="D27" i="37"/>
  <c r="F20" i="1"/>
  <c r="E16" i="1"/>
  <c r="E35" i="1"/>
  <c r="E37" i="1"/>
  <c r="D16" i="1"/>
  <c r="D37" i="1"/>
  <c r="D42" i="26"/>
  <c r="D28" i="21"/>
  <c r="F32" i="25"/>
  <c r="F33" i="25"/>
  <c r="F34" i="25"/>
  <c r="F21" i="25"/>
  <c r="F22" i="25"/>
  <c r="F23" i="25"/>
  <c r="F24" i="25"/>
  <c r="F26" i="25"/>
  <c r="F27" i="25"/>
  <c r="F28" i="25"/>
  <c r="F29" i="25"/>
  <c r="F30" i="25"/>
  <c r="F31" i="25"/>
  <c r="F9" i="25"/>
  <c r="F8" i="25"/>
  <c r="C25" i="37"/>
  <c r="F25" i="37"/>
  <c r="C13" i="37"/>
  <c r="F17" i="37"/>
  <c r="F18" i="37"/>
  <c r="F19" i="37"/>
  <c r="F21" i="37"/>
  <c r="F20" i="37"/>
  <c r="C27" i="37"/>
  <c r="F56" i="21"/>
  <c r="F58" i="21"/>
  <c r="C8" i="26"/>
  <c r="C20" i="23"/>
  <c r="C16" i="23"/>
  <c r="F22" i="21"/>
  <c r="C22" i="33"/>
  <c r="C25" i="33"/>
  <c r="F22" i="33"/>
  <c r="F21" i="33"/>
  <c r="C25" i="22"/>
  <c r="B11" i="26"/>
  <c r="C40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C11" i="26"/>
  <c r="F10" i="26"/>
  <c r="F9" i="26"/>
  <c r="F8" i="26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1" i="26"/>
  <c r="F20" i="23"/>
  <c r="F19" i="23"/>
  <c r="F18" i="23"/>
  <c r="F17" i="23"/>
  <c r="F16" i="23"/>
  <c r="F15" i="23"/>
  <c r="F14" i="23"/>
  <c r="C13" i="23"/>
  <c r="F13" i="23"/>
  <c r="F12" i="21"/>
  <c r="F13" i="21"/>
  <c r="F15" i="21"/>
  <c r="F17" i="21"/>
  <c r="F19" i="21"/>
  <c r="F21" i="21"/>
  <c r="F23" i="21"/>
  <c r="F24" i="21"/>
  <c r="F25" i="21"/>
  <c r="F26" i="21"/>
  <c r="F27" i="21"/>
  <c r="F33" i="21"/>
  <c r="F34" i="21"/>
  <c r="F36" i="21"/>
  <c r="F11" i="21"/>
  <c r="F10" i="21"/>
  <c r="F9" i="21"/>
  <c r="F20" i="32"/>
  <c r="F19" i="32"/>
  <c r="F18" i="32"/>
  <c r="F9" i="32"/>
  <c r="F8" i="32"/>
  <c r="F60" i="21"/>
  <c r="F53" i="21"/>
  <c r="F51" i="21"/>
  <c r="F42" i="21"/>
  <c r="F41" i="21"/>
  <c r="F40" i="21"/>
  <c r="F39" i="21"/>
  <c r="F37" i="21"/>
  <c r="F35" i="21"/>
  <c r="F38" i="21"/>
  <c r="B13" i="37"/>
  <c r="F18" i="21"/>
  <c r="B35" i="1"/>
  <c r="F49" i="21"/>
  <c r="B25" i="22"/>
  <c r="B12" i="22"/>
  <c r="B27" i="22"/>
  <c r="F45" i="21"/>
  <c r="B36" i="25"/>
  <c r="F46" i="21"/>
  <c r="B34" i="32"/>
  <c r="F50" i="21"/>
  <c r="B20" i="33"/>
  <c r="B23" i="33"/>
  <c r="F23" i="33"/>
  <c r="F55" i="21"/>
  <c r="B14" i="32"/>
  <c r="B25" i="37"/>
  <c r="B40" i="26"/>
  <c r="F14" i="21"/>
  <c r="C14" i="32"/>
  <c r="C34" i="32"/>
  <c r="F34" i="32"/>
  <c r="C16" i="1"/>
  <c r="C35" i="1"/>
  <c r="B16" i="1"/>
  <c r="B37" i="1"/>
  <c r="F35" i="1"/>
  <c r="F8" i="1"/>
  <c r="F9" i="1"/>
  <c r="F10" i="1"/>
  <c r="F11" i="1"/>
  <c r="F12" i="1"/>
  <c r="F13" i="1"/>
  <c r="F14" i="1"/>
  <c r="F15" i="1"/>
  <c r="C16" i="25"/>
  <c r="C36" i="25"/>
  <c r="B16" i="25"/>
  <c r="F16" i="21"/>
  <c r="F36" i="25"/>
  <c r="F16" i="25"/>
  <c r="C23" i="23"/>
  <c r="C25" i="23"/>
  <c r="B23" i="23"/>
  <c r="B25" i="23"/>
  <c r="F23" i="23"/>
  <c r="C12" i="22"/>
  <c r="C38" i="25"/>
  <c r="B25" i="33"/>
  <c r="B27" i="33"/>
  <c r="F20" i="33"/>
  <c r="C27" i="22"/>
  <c r="F44" i="21"/>
  <c r="F40" i="26"/>
  <c r="C37" i="1"/>
  <c r="F16" i="1"/>
  <c r="B36" i="32"/>
  <c r="F14" i="32"/>
  <c r="B27" i="37"/>
  <c r="F27" i="37"/>
  <c r="B38" i="25"/>
  <c r="B42" i="26"/>
  <c r="F20" i="21"/>
  <c r="F47" i="21"/>
  <c r="C36" i="32"/>
  <c r="F28" i="21"/>
  <c r="F48" i="21"/>
  <c r="D63" i="21"/>
  <c r="F25" i="33"/>
  <c r="F54" i="21"/>
  <c r="F61" i="21"/>
  <c r="F63" i="21"/>
</calcChain>
</file>

<file path=xl/sharedStrings.xml><?xml version="1.0" encoding="utf-8"?>
<sst xmlns="http://schemas.openxmlformats.org/spreadsheetml/2006/main" count="444" uniqueCount="254">
  <si>
    <t>AUSB</t>
  </si>
  <si>
    <t>Arts Undergraduate Society</t>
  </si>
  <si>
    <t>AUS Office Expenses</t>
  </si>
  <si>
    <t>Revenue</t>
  </si>
  <si>
    <t>Description</t>
  </si>
  <si>
    <t>Projected</t>
  </si>
  <si>
    <t>Actual</t>
  </si>
  <si>
    <t>Variance</t>
  </si>
  <si>
    <t>Actual Notes</t>
  </si>
  <si>
    <t>Total Revenue</t>
  </si>
  <si>
    <t>Expenses</t>
  </si>
  <si>
    <t>Total Expenses</t>
  </si>
  <si>
    <t>Working Surplus / Deficit</t>
  </si>
  <si>
    <t>President</t>
  </si>
  <si>
    <t>Table Booking Revenue</t>
  </si>
  <si>
    <t>Locker Rentals</t>
  </si>
  <si>
    <t>Copienova Expenses</t>
  </si>
  <si>
    <t>Provide Support Chatline</t>
  </si>
  <si>
    <t>Work Your BA</t>
  </si>
  <si>
    <t>Insurance</t>
  </si>
  <si>
    <t>Exec Retreat</t>
  </si>
  <si>
    <t>Legal Fees</t>
  </si>
  <si>
    <t>Thank You Cards</t>
  </si>
  <si>
    <t>Locker Deposit Returns</t>
  </si>
  <si>
    <t>Elections</t>
  </si>
  <si>
    <t>Election Software</t>
  </si>
  <si>
    <t>Reimbursements for Candidates</t>
  </si>
  <si>
    <t>CRO Stipend</t>
  </si>
  <si>
    <t>DRO Stipends</t>
  </si>
  <si>
    <t>Transition Day</t>
  </si>
  <si>
    <t>Food and materials</t>
  </si>
  <si>
    <t xml:space="preserve">VP ACADEMIC </t>
  </si>
  <si>
    <t>Essay Centre Grant</t>
    <phoneticPr fontId="0" type="noConversion"/>
  </si>
  <si>
    <t>Teaching Awards &amp; Reception</t>
  </si>
  <si>
    <t>AIO Undergraduate Research Event</t>
  </si>
  <si>
    <t>Committee Refreshments</t>
  </si>
  <si>
    <t>Miscallaneous Expenses</t>
    <phoneticPr fontId="0" type="noConversion"/>
  </si>
  <si>
    <t>Lounge Bookings (External Groups)</t>
  </si>
  <si>
    <t>General</t>
  </si>
  <si>
    <t>AUS Promotional Items</t>
  </si>
  <si>
    <t>Activities Night</t>
  </si>
  <si>
    <t xml:space="preserve">Lounge </t>
  </si>
  <si>
    <t>Liquor Permits</t>
  </si>
  <si>
    <t>Events</t>
  </si>
  <si>
    <t>Departmental Orientation</t>
  </si>
  <si>
    <t>AUS Holiday Party</t>
  </si>
  <si>
    <t>AUS Awards</t>
  </si>
  <si>
    <t>Committees</t>
  </si>
  <si>
    <t>FEARC Allocation</t>
  </si>
  <si>
    <t>AUSEC Allocation</t>
  </si>
  <si>
    <t>Based on last year</t>
  </si>
  <si>
    <t>Equity Allocation</t>
  </si>
  <si>
    <t>Graduate and Professional Schools Fair Revenue</t>
  </si>
  <si>
    <t>Prep101</t>
  </si>
  <si>
    <t>The Princeton Review</t>
  </si>
  <si>
    <t>Graduate and Professional Schools Fair</t>
  </si>
  <si>
    <t>Catering, booklets, printing, parking, cloths, etc.</t>
  </si>
  <si>
    <t xml:space="preserve">Arts Community Engagement Committee </t>
  </si>
  <si>
    <t>Various events throughout the year (embrACE volunteer week, food, promotional costs, transport, venue booking)</t>
  </si>
  <si>
    <t>Careers Portfolio</t>
  </si>
  <si>
    <t>Various events throughout the year (speaker series, food, wine &amp; cheese, promotional costs, venue booking…)</t>
  </si>
  <si>
    <t xml:space="preserve">AUS Vice-President External </t>
  </si>
  <si>
    <t>Webmaster Stipend</t>
  </si>
  <si>
    <t>Translator Stipend</t>
  </si>
  <si>
    <t>Francophone Commission</t>
  </si>
  <si>
    <t>Marketing Committee</t>
  </si>
  <si>
    <t>VP Finance Portfolio</t>
  </si>
  <si>
    <t>Auditing costs (Fuller-Landau)</t>
  </si>
  <si>
    <t xml:space="preserve">Quickbooks license </t>
  </si>
  <si>
    <t>Banking fees</t>
  </si>
  <si>
    <t>Based on 2013-2014 costs</t>
  </si>
  <si>
    <t>AUIF catering</t>
  </si>
  <si>
    <t>1000 laser printer cheques</t>
  </si>
  <si>
    <t>Incidental expenses</t>
  </si>
  <si>
    <t>Stop orders on cheques, taxi fares, mailing, HDMI/USB cord, etc</t>
  </si>
  <si>
    <t xml:space="preserve">President </t>
  </si>
  <si>
    <t>Table bookings + locker rentals</t>
  </si>
  <si>
    <t>VP Finance</t>
  </si>
  <si>
    <t>VP Internal</t>
  </si>
  <si>
    <t>Lounge bookings</t>
  </si>
  <si>
    <t>VP Academic</t>
  </si>
  <si>
    <t>VP External</t>
  </si>
  <si>
    <t>VP Communications</t>
  </si>
  <si>
    <t>Departmental Association Allocations</t>
  </si>
  <si>
    <t>VP Social</t>
  </si>
  <si>
    <t>See attached budget.</t>
  </si>
  <si>
    <t>General office/operating expenses</t>
  </si>
  <si>
    <t>Food for FMC meetings</t>
  </si>
  <si>
    <t>Frosh Expenses</t>
  </si>
  <si>
    <t>VP External: Sponsorships</t>
  </si>
  <si>
    <t>16.67*8 + 206.96*8</t>
  </si>
  <si>
    <t>FMC meets biweekly</t>
  </si>
  <si>
    <t>GIC Interest Revenue</t>
  </si>
  <si>
    <t xml:space="preserve">SNAX Rent </t>
  </si>
  <si>
    <t>AUS Annual Budget</t>
  </si>
  <si>
    <t>Student Fees - Fall</t>
  </si>
  <si>
    <t>Student Fees - Winter</t>
  </si>
  <si>
    <t>Earmarked for departments for the year. Fall + Projected allocations for Winter</t>
  </si>
  <si>
    <t>FMC Supplementary Fund</t>
  </si>
  <si>
    <t>FMC Special Projects Fund</t>
  </si>
  <si>
    <t>FMC Journal Fund</t>
  </si>
  <si>
    <t>Open to all journals, but preference given to AUS affiliated journals. Can fund up to 75 copies except in rare circumstances</t>
  </si>
  <si>
    <t>Open to departments and interfaculty associations only</t>
  </si>
  <si>
    <t>Open to any group on campus</t>
  </si>
  <si>
    <t>Xerox printing/copying charges</t>
  </si>
  <si>
    <t>We seem to accrue about $250 per quarter</t>
  </si>
  <si>
    <t xml:space="preserve">Projection based on last year's expenses. </t>
  </si>
  <si>
    <t>AUTS Expenses</t>
  </si>
  <si>
    <t>We had a $1,000 credit balance on Staples; Used up $800 on tables and office supplies</t>
  </si>
  <si>
    <t>Council Chair and Secondary Speaker Stipends</t>
  </si>
  <si>
    <t>eg. Business cards, Council Placards, Signs for Arts Lounge</t>
  </si>
  <si>
    <t>Unchanged from last year</t>
  </si>
  <si>
    <t>Work Your BA Coords Stipends</t>
  </si>
  <si>
    <t>Annual expense aproximated in fall. To be renegotiated in January</t>
  </si>
  <si>
    <t xml:space="preserve"> Depends on # of election periods</t>
  </si>
  <si>
    <t>Secretary General</t>
  </si>
  <si>
    <t>New position created this year to oversee AUS accountability and HR. Salary breakdown is $250 fixed and up to $200 based on performance (because it is a new position, exact workload is not yet known)</t>
  </si>
  <si>
    <t xml:space="preserve">Phone &amp; Long distance </t>
  </si>
  <si>
    <t xml:space="preserve">Office supplies </t>
  </si>
  <si>
    <t>Peer Tutoring Grant</t>
    <phoneticPr fontId="0" type="noConversion"/>
  </si>
  <si>
    <t>AUS Internal Expenses</t>
  </si>
  <si>
    <t>Presidents/Finance  Roundtable</t>
  </si>
  <si>
    <t>Liquor permits for AUS, departmental associations, and BDA</t>
  </si>
  <si>
    <t>Still to be decided</t>
  </si>
  <si>
    <t xml:space="preserve">MailChimp Subscription </t>
  </si>
  <si>
    <t>3 coords x $400</t>
  </si>
  <si>
    <t>Graphic Designer</t>
  </si>
  <si>
    <t>Website subscription renewal</t>
  </si>
  <si>
    <t>Adobe Subcscriptions</t>
  </si>
  <si>
    <t xml:space="preserve">Fine Arts Council </t>
  </si>
  <si>
    <t>AUS VP Communications</t>
  </si>
  <si>
    <t>Business Activities Rental goes up each year</t>
  </si>
  <si>
    <t>AUS VP Social</t>
  </si>
  <si>
    <t>BDA Revenues</t>
  </si>
  <si>
    <t>BDA Expenses</t>
  </si>
  <si>
    <t>StacheDash</t>
  </si>
  <si>
    <t>BDA Loss</t>
  </si>
  <si>
    <t>Allocations</t>
  </si>
  <si>
    <t>Program Expenses</t>
  </si>
  <si>
    <t>Portfolios</t>
  </si>
  <si>
    <t>Business Activities &amp; Operating</t>
  </si>
  <si>
    <t>Minerva Trust Fund (Student Fees)</t>
  </si>
  <si>
    <t>Portfolio Income</t>
  </si>
  <si>
    <t>GIC Savings Income</t>
  </si>
  <si>
    <t>See Frosh budget; Projected $5,000-6,000 in profits</t>
  </si>
  <si>
    <t>Printer, office supplies, phone and line rental payments to McGill, sales taxes paid</t>
  </si>
  <si>
    <t>Arts Rep Allocation</t>
  </si>
  <si>
    <t>SNAX Store</t>
  </si>
  <si>
    <t>SNAX Revenues</t>
  </si>
  <si>
    <t xml:space="preserve">SNAX Expenses </t>
  </si>
  <si>
    <t>Program Revenues(mostly in Social)</t>
  </si>
  <si>
    <t>See Social budget</t>
  </si>
  <si>
    <t>AUTS Fees - Fall+Winter</t>
  </si>
  <si>
    <t>Arts Improvement Fund Allocation Fees</t>
  </si>
  <si>
    <t>Received till now</t>
  </si>
  <si>
    <t xml:space="preserve">RESERVE FUND </t>
  </si>
  <si>
    <t>All of projected surplus goes to the reserve fund (5% of the base student fees)</t>
  </si>
  <si>
    <t>Grad Fair + Prep101, Princeton Review and Gradesavers</t>
  </si>
  <si>
    <t>Assumption: No change</t>
  </si>
  <si>
    <t>Frosh Revenues*</t>
  </si>
  <si>
    <t>Bookings by non-AUS groups cost $10 per table; stored on PayPal</t>
  </si>
  <si>
    <t>Number based on $40 per council, $50 per GA</t>
  </si>
  <si>
    <t>Based on last years numbers</t>
  </si>
  <si>
    <t>One fewer coordinator</t>
  </si>
  <si>
    <t>One fewer DRO from last year</t>
  </si>
  <si>
    <t>$200 less than last years reserve for alumni mixer, budgeted for 1-2 per semester</t>
  </si>
  <si>
    <t>Unchanged</t>
  </si>
  <si>
    <t xml:space="preserve">About 12K less than last year - due to fewer days taken </t>
  </si>
  <si>
    <t>AUSPC</t>
  </si>
  <si>
    <t>Prof Talks</t>
  </si>
  <si>
    <t>Covers liquor permit as well as refreshments for ~40 ppl</t>
  </si>
  <si>
    <t>AUS/OASIS Departmental Fair in SSMU</t>
  </si>
  <si>
    <t>Paid for set-up with OASIS</t>
  </si>
  <si>
    <t>Timbits, Pizza, Drinks (Deepak could you possibly find out how much the pizza was)</t>
  </si>
  <si>
    <t xml:space="preserve">Smaller events (BDA, Gerts, Colab with VP Social) 1st semester + 1 big event with SUS 2nd semester. Hopefully with profit. </t>
  </si>
  <si>
    <t>Event of their choosing, $150 more, many more initiatives, reallocated from FEARC flyers above</t>
  </si>
  <si>
    <t>based on last year</t>
  </si>
  <si>
    <t>Copie Nova for Orientation Week, AUS Promo throughout the year</t>
  </si>
  <si>
    <t>Deposit for SSMU Activities Night, $20 less than last year</t>
  </si>
  <si>
    <t>Two roundtables, based on last year, Maria projected $100, but actual was $200, so I thought it was best to go with $200</t>
  </si>
  <si>
    <t>Getting the remaining furniture to complete the new set</t>
  </si>
  <si>
    <t>MeWeAll</t>
  </si>
  <si>
    <t>Media Team</t>
  </si>
  <si>
    <t>Photography equipment</t>
  </si>
  <si>
    <t xml:space="preserve">Handbook/Agendas (1750) </t>
  </si>
  <si>
    <t>1 coord x $250 + 5 full year photographers x $100 + 1 half year photographer x $50; 1 for photographer</t>
  </si>
  <si>
    <t>1 coord x $750 for the year</t>
  </si>
  <si>
    <t>EPIC Winter Semester</t>
  </si>
  <si>
    <t xml:space="preserve">$4 cheaper than last year </t>
  </si>
  <si>
    <t xml:space="preserve">Exec Hoodies </t>
  </si>
  <si>
    <t>Executive Assistants</t>
  </si>
  <si>
    <t xml:space="preserve">Wage based compensation - just an estimate </t>
  </si>
  <si>
    <t xml:space="preserve">Based on last years' numbers </t>
  </si>
  <si>
    <t xml:space="preserve">Xerox Workcenter rental + Printer purchase </t>
  </si>
  <si>
    <t xml:space="preserve">4 payments per year </t>
  </si>
  <si>
    <t xml:space="preserve">Projection based on this year's fall cheque </t>
  </si>
  <si>
    <t>$10.75 per hour is the work study pay, $0.75 of which comes out of the AUS budget</t>
  </si>
  <si>
    <t>We allocate all of what we get so no surplus or deficit</t>
  </si>
  <si>
    <t xml:space="preserve">Actual allocation received </t>
  </si>
  <si>
    <t>Staff Mixers</t>
  </si>
  <si>
    <t>Leacock's</t>
  </si>
  <si>
    <t>Café Campus</t>
  </si>
  <si>
    <t>Handbook Coordinator Stipends</t>
  </si>
  <si>
    <t xml:space="preserve">Summer 2016 Bookkeeper </t>
  </si>
  <si>
    <t>Work Study payments (75 cents a hour)</t>
  </si>
  <si>
    <t xml:space="preserve">Interest from locked Non-redeemable GIC + 2*1 year redeemables </t>
  </si>
  <si>
    <t xml:space="preserve">Taxes </t>
  </si>
  <si>
    <t>BDA loss put separately on the first page of budget - missing security and liqour permit fees</t>
  </si>
  <si>
    <t>Based on last years numbers - loss projected for the moment - based only on SNAX bank account</t>
  </si>
  <si>
    <t>AUTS arranges plays that usually break even - bank account shows a $6k loss</t>
  </si>
  <si>
    <t>Deputy Secretary General</t>
  </si>
  <si>
    <t>DADF Funding</t>
  </si>
  <si>
    <t>New student letter</t>
  </si>
  <si>
    <t>Miscellaneous Executive Expenditures</t>
  </si>
  <si>
    <t>AUTS Revenues</t>
  </si>
  <si>
    <t>Fees Dedicated to Reserve Fund*</t>
  </si>
  <si>
    <t>Stipends</t>
  </si>
  <si>
    <t>FEARC Revenues</t>
  </si>
  <si>
    <t>Updated May 22nd 2017</t>
  </si>
  <si>
    <t>2016-17 Projected</t>
  </si>
  <si>
    <t>2016-17 Actual</t>
  </si>
  <si>
    <t>2016-17 Actual Notes</t>
  </si>
  <si>
    <t>2016-17 Variance</t>
  </si>
  <si>
    <t>2017-18 Notes</t>
  </si>
  <si>
    <t>Estimating a 15% decrease due to less locker rentals during construction</t>
  </si>
  <si>
    <t>Estimating a 13% increase due to higher prices</t>
  </si>
  <si>
    <t>2017-18 Projected</t>
  </si>
  <si>
    <t>2017-18 Actual</t>
  </si>
  <si>
    <t>Speaker Series</t>
  </si>
  <si>
    <t>Winter Retreat</t>
  </si>
  <si>
    <t>Committee Food</t>
  </si>
  <si>
    <t>2016-2017 Projected</t>
  </si>
  <si>
    <t>2017-2018 Projected</t>
  </si>
  <si>
    <t>2016-2017 Actual</t>
  </si>
  <si>
    <t>Commuter Support and Engagement Committee</t>
  </si>
  <si>
    <t>2017-18 Actual Notes</t>
  </si>
  <si>
    <t>Actual allocation received</t>
  </si>
  <si>
    <t>Projection based on this year's fall allocation</t>
  </si>
  <si>
    <t>Arts OASIS Chatline</t>
  </si>
  <si>
    <t>$1,000 total for stipends, $2,000 for tutor gifts, promotional materials, and food at tutor orientation</t>
  </si>
  <si>
    <t>$3,765 for fall, remainder for winter</t>
  </si>
  <si>
    <t>$200 in stipends, rest covers fees for registering copyright and reducing departmental costs</t>
  </si>
  <si>
    <t>Majority for DART, some for AAC</t>
  </si>
  <si>
    <t>Approved over the summer, encouraged OASIS to seek alternate funding source in future</t>
  </si>
  <si>
    <t>$300 in stipends for 1 coord, $300 for wine and cheese for approx. 5 talks</t>
  </si>
  <si>
    <t>AUS 25</t>
  </si>
  <si>
    <t>AUS Ball</t>
  </si>
  <si>
    <t>Grad Ball</t>
  </si>
  <si>
    <t>Other EPIC Event Expenses</t>
  </si>
  <si>
    <t>ISAC</t>
  </si>
  <si>
    <t>MHAUS</t>
  </si>
  <si>
    <t xml:space="preserve">Community Engagement </t>
  </si>
  <si>
    <t>SNAX Surplus Dedicated to SNAX GIC</t>
  </si>
  <si>
    <t>Office Refreshments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</si>
</sst>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20"/>
      <name val="Calibri"/>
      <family val="2"/>
    </font>
    <font>
      <b/>
      <i/>
      <sz val="20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178"/>
      <scheme val="minor"/>
    </font>
    <font>
      <sz val="10"/>
      <name val="Calibri"/>
      <family val="2"/>
    </font>
    <font>
      <b/>
      <sz val="10"/>
      <name val="Calibri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Arial Unicode MS"/>
      <family val="2"/>
    </font>
    <font>
      <sz val="11"/>
      <name val="Calibri"/>
      <family val="2"/>
      <charset val="178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sz val="11"/>
      <name val="Calibri"/>
      <family val="2"/>
      <charset val="178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5">
    <xf numFmtId="0" fontId="0" fillId="0" borderId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4" fillId="0" borderId="0"/>
    <xf numFmtId="0" fontId="15" fillId="0" borderId="0"/>
    <xf numFmtId="0" fontId="18" fillId="0" borderId="0"/>
    <xf numFmtId="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22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88">
    <xf numFmtId="0" fontId="0" fillId="0" borderId="0" xfId="0"/>
    <xf numFmtId="0" fontId="10" fillId="0" borderId="0" xfId="0" applyFont="1"/>
    <xf numFmtId="0" fontId="10" fillId="3" borderId="0" xfId="0" applyFont="1" applyFill="1"/>
    <xf numFmtId="0" fontId="0" fillId="5" borderId="1" xfId="0" applyFont="1" applyFill="1" applyBorder="1"/>
    <xf numFmtId="0" fontId="0" fillId="0" borderId="1" xfId="0" applyFont="1" applyFill="1" applyBorder="1"/>
    <xf numFmtId="0" fontId="3" fillId="4" borderId="1" xfId="0" applyFont="1" applyFill="1" applyBorder="1"/>
    <xf numFmtId="0" fontId="0" fillId="4" borderId="1" xfId="0" applyFont="1" applyFill="1" applyBorder="1"/>
    <xf numFmtId="0" fontId="4" fillId="6" borderId="1" xfId="0" applyFont="1" applyFill="1" applyBorder="1"/>
    <xf numFmtId="0" fontId="3" fillId="6" borderId="1" xfId="0" applyFont="1" applyFill="1" applyBorder="1"/>
    <xf numFmtId="0" fontId="8" fillId="0" borderId="1" xfId="0" applyFont="1" applyBorder="1"/>
    <xf numFmtId="15" fontId="0" fillId="3" borderId="0" xfId="0" applyNumberFormat="1" applyFill="1"/>
    <xf numFmtId="0" fontId="8" fillId="0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2" fontId="0" fillId="3" borderId="0" xfId="0" applyNumberFormat="1" applyFill="1"/>
    <xf numFmtId="2" fontId="0" fillId="0" borderId="0" xfId="0" applyNumberFormat="1"/>
    <xf numFmtId="2" fontId="3" fillId="3" borderId="1" xfId="0" applyNumberFormat="1" applyFont="1" applyFill="1" applyBorder="1"/>
    <xf numFmtId="164" fontId="9" fillId="0" borderId="1" xfId="1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164" fontId="9" fillId="5" borderId="1" xfId="1" applyNumberFormat="1" applyFont="1" applyFill="1" applyBorder="1" applyAlignment="1">
      <alignment horizontal="center" vertical="center"/>
    </xf>
    <xf numFmtId="14" fontId="10" fillId="3" borderId="0" xfId="0" applyNumberFormat="1" applyFont="1" applyFill="1"/>
    <xf numFmtId="0" fontId="10" fillId="5" borderId="1" xfId="0" applyFont="1" applyFill="1" applyBorder="1"/>
    <xf numFmtId="166" fontId="8" fillId="5" borderId="1" xfId="1" applyFont="1" applyFill="1" applyBorder="1"/>
    <xf numFmtId="0" fontId="10" fillId="0" borderId="1" xfId="0" applyFont="1" applyBorder="1"/>
    <xf numFmtId="8" fontId="7" fillId="0" borderId="1" xfId="0" applyNumberFormat="1" applyFont="1" applyBorder="1"/>
    <xf numFmtId="0" fontId="10" fillId="0" borderId="1" xfId="0" applyFont="1" applyFill="1" applyBorder="1"/>
    <xf numFmtId="166" fontId="8" fillId="0" borderId="1" xfId="1" applyFont="1" applyBorder="1"/>
    <xf numFmtId="0" fontId="3" fillId="0" borderId="1" xfId="0" applyFont="1" applyFill="1" applyBorder="1"/>
    <xf numFmtId="0" fontId="11" fillId="0" borderId="1" xfId="0" applyFont="1" applyBorder="1"/>
    <xf numFmtId="8" fontId="8" fillId="5" borderId="1" xfId="1" applyNumberFormat="1" applyFont="1" applyFill="1" applyBorder="1"/>
    <xf numFmtId="166" fontId="8" fillId="4" borderId="1" xfId="1" applyFont="1" applyFill="1" applyBorder="1"/>
    <xf numFmtId="0" fontId="10" fillId="4" borderId="1" xfId="0" applyFont="1" applyFill="1" applyBorder="1"/>
    <xf numFmtId="0" fontId="0" fillId="0" borderId="0" xfId="0"/>
    <xf numFmtId="0" fontId="3" fillId="3" borderId="1" xfId="0" applyFont="1" applyFill="1" applyBorder="1"/>
    <xf numFmtId="0" fontId="4" fillId="3" borderId="1" xfId="0" applyFont="1" applyFill="1" applyBorder="1"/>
    <xf numFmtId="0" fontId="7" fillId="0" borderId="1" xfId="0" applyFont="1" applyBorder="1"/>
    <xf numFmtId="166" fontId="1" fillId="0" borderId="1" xfId="2" applyFont="1" applyBorder="1"/>
    <xf numFmtId="17" fontId="0" fillId="3" borderId="0" xfId="0" applyNumberFormat="1" applyFill="1"/>
    <xf numFmtId="0" fontId="12" fillId="0" borderId="0" xfId="0" applyFont="1"/>
    <xf numFmtId="0" fontId="12" fillId="0" borderId="1" xfId="0" applyFont="1" applyBorder="1"/>
    <xf numFmtId="166" fontId="12" fillId="0" borderId="2" xfId="0" applyNumberFormat="1" applyFont="1" applyBorder="1"/>
    <xf numFmtId="0" fontId="13" fillId="0" borderId="1" xfId="0" applyFont="1" applyBorder="1"/>
    <xf numFmtId="0" fontId="13" fillId="0" borderId="1" xfId="0" applyFont="1" applyFill="1" applyBorder="1"/>
    <xf numFmtId="166" fontId="1" fillId="0" borderId="0" xfId="2" applyFont="1" applyBorder="1"/>
    <xf numFmtId="0" fontId="12" fillId="0" borderId="2" xfId="0" applyFont="1" applyBorder="1"/>
    <xf numFmtId="0" fontId="0" fillId="0" borderId="0" xfId="0"/>
    <xf numFmtId="0" fontId="3" fillId="2" borderId="1" xfId="0" applyFont="1" applyFill="1" applyBorder="1"/>
    <xf numFmtId="0" fontId="4" fillId="2" borderId="1" xfId="0" applyFont="1" applyFill="1" applyBorder="1"/>
    <xf numFmtId="0" fontId="0" fillId="3" borderId="0" xfId="0" applyFill="1"/>
    <xf numFmtId="0" fontId="0" fillId="4" borderId="1" xfId="0" applyFill="1" applyBorder="1"/>
    <xf numFmtId="0" fontId="0" fillId="5" borderId="1" xfId="0" applyFill="1" applyBorder="1"/>
    <xf numFmtId="0" fontId="6" fillId="3" borderId="0" xfId="0" applyFont="1" applyFill="1"/>
    <xf numFmtId="0" fontId="5" fillId="3" borderId="0" xfId="0" applyFont="1" applyFill="1"/>
    <xf numFmtId="0" fontId="0" fillId="0" borderId="1" xfId="0" applyBorder="1"/>
    <xf numFmtId="0" fontId="0" fillId="0" borderId="1" xfId="0" applyFill="1" applyBorder="1"/>
    <xf numFmtId="0" fontId="4" fillId="4" borderId="1" xfId="0" applyFont="1" applyFill="1" applyBorder="1"/>
    <xf numFmtId="166" fontId="1" fillId="0" borderId="1" xfId="2" applyFont="1" applyBorder="1"/>
    <xf numFmtId="166" fontId="1" fillId="5" borderId="1" xfId="2" applyFont="1" applyFill="1" applyBorder="1"/>
    <xf numFmtId="166" fontId="1" fillId="4" borderId="1" xfId="2" applyFont="1" applyFill="1" applyBorder="1"/>
    <xf numFmtId="0" fontId="4" fillId="8" borderId="1" xfId="0" applyFont="1" applyFill="1" applyBorder="1"/>
    <xf numFmtId="0" fontId="3" fillId="8" borderId="1" xfId="0" applyFont="1" applyFill="1" applyBorder="1"/>
    <xf numFmtId="166" fontId="9" fillId="4" borderId="1" xfId="1" applyFont="1" applyFill="1" applyBorder="1"/>
    <xf numFmtId="0" fontId="16" fillId="0" borderId="1" xfId="0" applyFont="1" applyBorder="1"/>
    <xf numFmtId="166" fontId="9" fillId="5" borderId="1" xfId="1" applyFont="1" applyFill="1" applyBorder="1"/>
    <xf numFmtId="166" fontId="9" fillId="0" borderId="1" xfId="1" applyFont="1" applyBorder="1"/>
    <xf numFmtId="0" fontId="14" fillId="0" borderId="0" xfId="3"/>
    <xf numFmtId="166" fontId="0" fillId="0" borderId="1" xfId="2" applyFont="1" applyBorder="1"/>
    <xf numFmtId="166" fontId="0" fillId="0" borderId="0" xfId="0" applyNumberFormat="1"/>
    <xf numFmtId="165" fontId="0" fillId="0" borderId="1" xfId="0" applyNumberFormat="1" applyBorder="1"/>
    <xf numFmtId="166" fontId="1" fillId="7" borderId="1" xfId="1" applyFont="1" applyFill="1" applyBorder="1"/>
    <xf numFmtId="166" fontId="1" fillId="7" borderId="1" xfId="2" applyFont="1" applyFill="1" applyBorder="1"/>
    <xf numFmtId="166" fontId="17" fillId="7" borderId="1" xfId="2" applyFont="1" applyFill="1" applyBorder="1"/>
    <xf numFmtId="0" fontId="3" fillId="0" borderId="1" xfId="0" applyFont="1" applyBorder="1"/>
    <xf numFmtId="0" fontId="2" fillId="0" borderId="1" xfId="0" applyFont="1" applyFill="1" applyBorder="1"/>
    <xf numFmtId="166" fontId="8" fillId="0" borderId="1" xfId="1" applyFont="1" applyFill="1" applyBorder="1"/>
    <xf numFmtId="0" fontId="0" fillId="9" borderId="0" xfId="0" applyFill="1"/>
    <xf numFmtId="0" fontId="18" fillId="0" borderId="1" xfId="0" applyFont="1" applyFill="1" applyBorder="1"/>
    <xf numFmtId="0" fontId="19" fillId="10" borderId="1" xfId="0" applyFont="1" applyFill="1" applyBorder="1"/>
    <xf numFmtId="0" fontId="20" fillId="10" borderId="1" xfId="0" applyFont="1" applyFill="1" applyBorder="1"/>
    <xf numFmtId="0" fontId="19" fillId="11" borderId="1" xfId="0" applyFont="1" applyFill="1" applyBorder="1"/>
    <xf numFmtId="0" fontId="20" fillId="11" borderId="1" xfId="0" applyFont="1" applyFill="1" applyBorder="1"/>
    <xf numFmtId="166" fontId="2" fillId="4" borderId="1" xfId="2" applyFont="1" applyFill="1" applyBorder="1"/>
    <xf numFmtId="0" fontId="2" fillId="12" borderId="0" xfId="0" applyFont="1" applyFill="1"/>
    <xf numFmtId="166" fontId="2" fillId="12" borderId="0" xfId="0" applyNumberFormat="1" applyFont="1" applyFill="1"/>
    <xf numFmtId="0" fontId="0" fillId="0" borderId="0" xfId="0" applyFill="1" applyBorder="1"/>
    <xf numFmtId="165" fontId="1" fillId="7" borderId="1" xfId="2" applyNumberFormat="1" applyFont="1" applyFill="1" applyBorder="1"/>
    <xf numFmtId="0" fontId="23" fillId="0" borderId="0" xfId="0" applyFont="1"/>
    <xf numFmtId="164" fontId="9" fillId="0" borderId="1" xfId="8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0" xfId="0"/>
    <xf numFmtId="0" fontId="0" fillId="0" borderId="1" xfId="0" applyFont="1" applyBorder="1"/>
    <xf numFmtId="0" fontId="0" fillId="0" borderId="1" xfId="0" applyFont="1" applyFill="1" applyBorder="1"/>
    <xf numFmtId="0" fontId="2" fillId="0" borderId="1" xfId="0" applyFont="1" applyBorder="1"/>
    <xf numFmtId="0" fontId="0" fillId="0" borderId="1" xfId="0" applyBorder="1"/>
    <xf numFmtId="0" fontId="0" fillId="0" borderId="1" xfId="0" applyFill="1" applyBorder="1"/>
    <xf numFmtId="166" fontId="1" fillId="0" borderId="1" xfId="8" applyFont="1" applyBorder="1"/>
    <xf numFmtId="166" fontId="0" fillId="0" borderId="1" xfId="8" applyFont="1" applyBorder="1" applyAlignment="1">
      <alignment horizontal="center" vertical="center"/>
    </xf>
    <xf numFmtId="166" fontId="0" fillId="7" borderId="1" xfId="8" applyFont="1" applyFill="1" applyBorder="1" applyAlignment="1">
      <alignment horizontal="center" vertical="center"/>
    </xf>
    <xf numFmtId="166" fontId="0" fillId="0" borderId="1" xfId="8" applyFont="1" applyFill="1" applyBorder="1" applyAlignment="1">
      <alignment horizontal="center" vertical="center"/>
    </xf>
    <xf numFmtId="166" fontId="2" fillId="0" borderId="1" xfId="8" applyFont="1" applyBorder="1" applyAlignment="1">
      <alignment horizontal="center" vertical="center"/>
    </xf>
    <xf numFmtId="166" fontId="0" fillId="0" borderId="1" xfId="8" applyFont="1" applyBorder="1" applyAlignment="1">
      <alignment horizontal="center"/>
    </xf>
    <xf numFmtId="168" fontId="23" fillId="0" borderId="0" xfId="10" applyNumberFormat="1" applyFont="1"/>
    <xf numFmtId="166" fontId="21" fillId="13" borderId="1" xfId="2" applyFont="1" applyFill="1" applyBorder="1"/>
    <xf numFmtId="166" fontId="21" fillId="14" borderId="1" xfId="2" applyFont="1" applyFill="1" applyBorder="1"/>
    <xf numFmtId="0" fontId="18" fillId="0" borderId="1" xfId="0" applyFont="1" applyBorder="1"/>
    <xf numFmtId="166" fontId="1" fillId="9" borderId="1" xfId="2" applyFont="1" applyFill="1" applyBorder="1"/>
    <xf numFmtId="0" fontId="0" fillId="0" borderId="1" xfId="0" applyBorder="1"/>
    <xf numFmtId="166" fontId="9" fillId="0" borderId="1" xfId="8" applyFont="1" applyBorder="1"/>
    <xf numFmtId="0" fontId="0" fillId="0" borderId="1" xfId="0" applyBorder="1"/>
    <xf numFmtId="166" fontId="0" fillId="0" borderId="1" xfId="8" applyFont="1" applyBorder="1"/>
    <xf numFmtId="0" fontId="0" fillId="0" borderId="1" xfId="0" applyBorder="1"/>
    <xf numFmtId="166" fontId="9" fillId="0" borderId="1" xfId="8" applyFont="1" applyBorder="1"/>
    <xf numFmtId="166" fontId="1" fillId="0" borderId="1" xfId="8" applyNumberFormat="1" applyFont="1" applyBorder="1" applyAlignment="1">
      <alignment horizontal="center" vertical="center"/>
    </xf>
    <xf numFmtId="166" fontId="1" fillId="7" borderId="1" xfId="8" applyFont="1" applyFill="1" applyBorder="1" applyAlignment="1">
      <alignment horizontal="center" vertical="center"/>
    </xf>
    <xf numFmtId="166" fontId="1" fillId="0" borderId="1" xfId="8" applyFont="1" applyFill="1" applyBorder="1" applyAlignment="1">
      <alignment horizontal="center" vertical="center"/>
    </xf>
    <xf numFmtId="166" fontId="2" fillId="7" borderId="1" xfId="8" applyFont="1" applyFill="1" applyBorder="1" applyAlignment="1">
      <alignment horizontal="center" vertical="center"/>
    </xf>
    <xf numFmtId="166" fontId="1" fillId="5" borderId="1" xfId="8" applyFont="1" applyFill="1" applyBorder="1" applyAlignment="1">
      <alignment horizontal="center" vertical="center"/>
    </xf>
    <xf numFmtId="166" fontId="1" fillId="5" borderId="1" xfId="8" applyNumberFormat="1" applyFont="1" applyFill="1" applyBorder="1" applyAlignment="1">
      <alignment horizontal="center" vertical="center"/>
    </xf>
    <xf numFmtId="166" fontId="1" fillId="4" borderId="1" xfId="8" applyNumberFormat="1" applyFont="1" applyFill="1" applyBorder="1" applyAlignment="1">
      <alignment horizontal="center" vertical="center"/>
    </xf>
    <xf numFmtId="166" fontId="1" fillId="4" borderId="1" xfId="8" applyFont="1" applyFill="1" applyBorder="1" applyAlignment="1">
      <alignment horizontal="center" vertical="center"/>
    </xf>
    <xf numFmtId="0" fontId="0" fillId="7" borderId="1" xfId="0" applyFont="1" applyFill="1" applyBorder="1"/>
    <xf numFmtId="165" fontId="0" fillId="0" borderId="0" xfId="0" applyNumberFormat="1"/>
    <xf numFmtId="166" fontId="9" fillId="0" borderId="1" xfId="12" applyFont="1" applyBorder="1"/>
    <xf numFmtId="166" fontId="9" fillId="0" borderId="1" xfId="12" applyFont="1" applyBorder="1"/>
    <xf numFmtId="164" fontId="1" fillId="0" borderId="1" xfId="2" applyNumberFormat="1" applyFont="1" applyBorder="1"/>
    <xf numFmtId="164" fontId="9" fillId="0" borderId="1" xfId="1" applyNumberFormat="1" applyFont="1" applyBorder="1"/>
    <xf numFmtId="166" fontId="0" fillId="4" borderId="1" xfId="0" applyNumberFormat="1" applyFill="1" applyBorder="1"/>
    <xf numFmtId="166" fontId="1" fillId="15" borderId="1" xfId="2" applyFont="1" applyFill="1" applyBorder="1"/>
    <xf numFmtId="166" fontId="9" fillId="15" borderId="1" xfId="1" applyFont="1" applyFill="1" applyBorder="1"/>
    <xf numFmtId="166" fontId="1" fillId="16" borderId="1" xfId="2" applyFont="1" applyFill="1" applyBorder="1"/>
    <xf numFmtId="166" fontId="9" fillId="16" borderId="1" xfId="1" applyFont="1" applyFill="1" applyBorder="1"/>
    <xf numFmtId="0" fontId="10" fillId="0" borderId="3" xfId="0" applyFont="1" applyBorder="1"/>
    <xf numFmtId="168" fontId="23" fillId="0" borderId="4" xfId="10" applyNumberFormat="1" applyFont="1" applyBorder="1"/>
    <xf numFmtId="168" fontId="23" fillId="0" borderId="5" xfId="10" applyNumberFormat="1" applyFont="1" applyBorder="1"/>
    <xf numFmtId="168" fontId="8" fillId="0" borderId="1" xfId="1" applyNumberFormat="1" applyFont="1" applyBorder="1"/>
    <xf numFmtId="166" fontId="8" fillId="15" borderId="1" xfId="1" applyFont="1" applyFill="1" applyBorder="1"/>
    <xf numFmtId="166" fontId="9" fillId="15" borderId="1" xfId="8" applyFont="1" applyFill="1" applyBorder="1"/>
    <xf numFmtId="166" fontId="0" fillId="15" borderId="1" xfId="8" applyFont="1" applyFill="1" applyBorder="1"/>
    <xf numFmtId="166" fontId="1" fillId="15" borderId="1" xfId="8" applyFont="1" applyFill="1" applyBorder="1" applyAlignment="1">
      <alignment horizontal="center" vertical="center"/>
    </xf>
    <xf numFmtId="166" fontId="8" fillId="15" borderId="1" xfId="8" applyFont="1" applyFill="1" applyBorder="1" applyAlignment="1">
      <alignment horizontal="center" vertical="center"/>
    </xf>
    <xf numFmtId="168" fontId="9" fillId="15" borderId="1" xfId="1" applyNumberFormat="1" applyFont="1" applyFill="1" applyBorder="1" applyAlignment="1">
      <alignment horizontal="right" vertical="center"/>
    </xf>
    <xf numFmtId="164" fontId="0" fillId="0" borderId="1" xfId="8" applyNumberFormat="1" applyFont="1" applyBorder="1" applyAlignment="1">
      <alignment horizontal="center" vertical="center"/>
    </xf>
    <xf numFmtId="166" fontId="9" fillId="15" borderId="1" xfId="12" applyFont="1" applyFill="1" applyBorder="1"/>
    <xf numFmtId="164" fontId="1" fillId="15" borderId="1" xfId="8" applyNumberFormat="1" applyFont="1" applyFill="1" applyBorder="1" applyAlignment="1">
      <alignment horizontal="right" vertical="center"/>
    </xf>
    <xf numFmtId="166" fontId="1" fillId="15" borderId="1" xfId="8" applyFont="1" applyFill="1" applyBorder="1"/>
    <xf numFmtId="165" fontId="0" fillId="15" borderId="0" xfId="0" applyNumberFormat="1" applyFill="1"/>
    <xf numFmtId="166" fontId="12" fillId="15" borderId="2" xfId="0" applyNumberFormat="1" applyFont="1" applyFill="1" applyBorder="1"/>
    <xf numFmtId="165" fontId="9" fillId="5" borderId="1" xfId="1" applyNumberFormat="1" applyFont="1" applyFill="1" applyBorder="1" applyAlignment="1">
      <alignment horizontal="center" vertical="center"/>
    </xf>
    <xf numFmtId="165" fontId="1" fillId="15" borderId="1" xfId="2" applyNumberFormat="1" applyFont="1" applyFill="1" applyBorder="1"/>
    <xf numFmtId="166" fontId="24" fillId="15" borderId="1" xfId="1" applyFont="1" applyFill="1" applyBorder="1"/>
    <xf numFmtId="166" fontId="1" fillId="17" borderId="1" xfId="2" applyFont="1" applyFill="1" applyBorder="1"/>
    <xf numFmtId="166" fontId="0" fillId="15" borderId="1" xfId="2" applyFont="1" applyFill="1" applyBorder="1"/>
    <xf numFmtId="166" fontId="1" fillId="18" borderId="1" xfId="2" applyFont="1" applyFill="1" applyBorder="1"/>
    <xf numFmtId="166" fontId="9" fillId="18" borderId="1" xfId="1" applyFont="1" applyFill="1" applyBorder="1"/>
    <xf numFmtId="166" fontId="9" fillId="0" borderId="1" xfId="1" applyFont="1" applyFill="1" applyBorder="1"/>
    <xf numFmtId="166" fontId="9" fillId="0" borderId="1" xfId="12" applyFont="1" applyFill="1" applyBorder="1"/>
    <xf numFmtId="166" fontId="1" fillId="0" borderId="1" xfId="2" applyFont="1" applyFill="1" applyBorder="1"/>
    <xf numFmtId="166" fontId="0" fillId="0" borderId="1" xfId="2" applyFont="1" applyFill="1" applyBorder="1"/>
    <xf numFmtId="165" fontId="0" fillId="0" borderId="0" xfId="0" applyNumberFormat="1" applyFill="1"/>
    <xf numFmtId="0" fontId="7" fillId="0" borderId="1" xfId="0" applyFont="1" applyFill="1" applyBorder="1"/>
    <xf numFmtId="165" fontId="1" fillId="0" borderId="1" xfId="2" applyNumberFormat="1" applyFont="1" applyFill="1" applyBorder="1"/>
    <xf numFmtId="166" fontId="12" fillId="0" borderId="2" xfId="0" applyNumberFormat="1" applyFont="1" applyFill="1" applyBorder="1"/>
    <xf numFmtId="168" fontId="9" fillId="0" borderId="1" xfId="1" applyNumberFormat="1" applyFont="1" applyFill="1" applyBorder="1" applyAlignment="1">
      <alignment horizontal="right" vertical="center"/>
    </xf>
    <xf numFmtId="164" fontId="1" fillId="0" borderId="1" xfId="8" applyNumberFormat="1" applyFont="1" applyFill="1" applyBorder="1" applyAlignment="1">
      <alignment horizontal="right" vertical="center"/>
    </xf>
    <xf numFmtId="166" fontId="2" fillId="0" borderId="1" xfId="8" applyFont="1" applyFill="1" applyBorder="1" applyAlignment="1">
      <alignment horizontal="center" vertical="center"/>
    </xf>
    <xf numFmtId="166" fontId="8" fillId="0" borderId="1" xfId="8" applyFont="1" applyFill="1" applyBorder="1" applyAlignment="1">
      <alignment horizontal="center" vertical="center"/>
    </xf>
    <xf numFmtId="166" fontId="0" fillId="0" borderId="1" xfId="8" applyFont="1" applyFill="1" applyBorder="1"/>
    <xf numFmtId="166" fontId="1" fillId="0" borderId="1" xfId="8" applyFont="1" applyFill="1" applyBorder="1"/>
    <xf numFmtId="164" fontId="0" fillId="0" borderId="1" xfId="8" applyNumberFormat="1" applyFont="1" applyFill="1" applyBorder="1" applyAlignment="1">
      <alignment horizontal="center" vertical="center"/>
    </xf>
    <xf numFmtId="166" fontId="9" fillId="0" borderId="1" xfId="8" applyFont="1" applyFill="1" applyBorder="1"/>
    <xf numFmtId="168" fontId="23" fillId="0" borderId="4" xfId="10" applyNumberFormat="1" applyFont="1" applyFill="1" applyBorder="1"/>
    <xf numFmtId="168" fontId="23" fillId="0" borderId="5" xfId="10" applyNumberFormat="1" applyFont="1" applyFill="1" applyBorder="1"/>
    <xf numFmtId="168" fontId="23" fillId="0" borderId="0" xfId="10" applyNumberFormat="1" applyFont="1" applyFill="1"/>
    <xf numFmtId="166" fontId="0" fillId="0" borderId="1" xfId="1" applyFont="1" applyFill="1" applyBorder="1"/>
    <xf numFmtId="0" fontId="3" fillId="9" borderId="1" xfId="0" applyFont="1" applyFill="1" applyBorder="1"/>
    <xf numFmtId="165" fontId="0" fillId="0" borderId="1" xfId="2" applyNumberFormat="1" applyFont="1" applyFill="1" applyBorder="1"/>
    <xf numFmtId="166" fontId="0" fillId="0" borderId="1" xfId="8" applyFont="1" applyFill="1" applyBorder="1" applyAlignment="1">
      <alignment horizontal="center"/>
    </xf>
    <xf numFmtId="166" fontId="24" fillId="0" borderId="1" xfId="1" applyFont="1" applyFill="1" applyBorder="1"/>
    <xf numFmtId="164" fontId="0" fillId="0" borderId="1" xfId="1" applyNumberFormat="1" applyFont="1" applyFill="1" applyBorder="1"/>
    <xf numFmtId="166" fontId="21" fillId="0" borderId="1" xfId="2" applyFont="1" applyFill="1" applyBorder="1"/>
    <xf numFmtId="4" fontId="2" fillId="12" borderId="0" xfId="0" applyNumberFormat="1" applyFont="1" applyFill="1"/>
    <xf numFmtId="4" fontId="0" fillId="0" borderId="0" xfId="0" applyNumberFormat="1" applyFont="1" applyFill="1"/>
    <xf numFmtId="166" fontId="1" fillId="0" borderId="0" xfId="2" applyFont="1" applyFill="1" applyBorder="1"/>
  </cellXfs>
  <cellStyles count="15">
    <cellStyle name="Comma 2" xfId="7"/>
    <cellStyle name="Comma 2 2" xfId="11"/>
    <cellStyle name="Comma 3" xfId="14"/>
    <cellStyle name="Currency" xfId="1" builtinId="4"/>
    <cellStyle name="Currency 2" xfId="2"/>
    <cellStyle name="Currency 2 2" xfId="9"/>
    <cellStyle name="Currency 2 3" xfId="13"/>
    <cellStyle name="Currency 3" xfId="8"/>
    <cellStyle name="Currency 4" xfId="12"/>
    <cellStyle name="Normal" xfId="0" builtinId="0"/>
    <cellStyle name="Normal 2" xfId="3"/>
    <cellStyle name="Normal 3" xfId="5"/>
    <cellStyle name="Normal 4" xfId="10"/>
    <cellStyle name="Percent 2" xfId="6"/>
    <cellStyle name="TableStyleLigh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opLeftCell="A39" workbookViewId="0">
      <selection activeCell="D63" sqref="D63"/>
    </sheetView>
  </sheetViews>
  <sheetFormatPr baseColWidth="10" defaultColWidth="8.83203125" defaultRowHeight="15" x14ac:dyDescent="0.2"/>
  <cols>
    <col min="1" max="1" width="40.83203125" customWidth="1"/>
    <col min="2" max="2" width="17.6640625" customWidth="1"/>
    <col min="3" max="3" width="19.33203125" customWidth="1"/>
    <col min="4" max="5" width="19.33203125" style="94" customWidth="1"/>
    <col min="6" max="6" width="18.1640625" customWidth="1"/>
    <col min="7" max="7" width="92.83203125" customWidth="1"/>
    <col min="8" max="8" width="90.5" style="94" customWidth="1"/>
  </cols>
  <sheetData>
    <row r="1" spans="1:9" ht="26" x14ac:dyDescent="0.3">
      <c r="A1" s="56" t="s">
        <v>0</v>
      </c>
      <c r="B1" s="53"/>
      <c r="C1" s="53"/>
      <c r="D1" s="53"/>
      <c r="E1" s="53"/>
      <c r="F1" s="53"/>
      <c r="G1" s="53"/>
      <c r="H1" s="53"/>
      <c r="I1" s="50"/>
    </row>
    <row r="2" spans="1:9" ht="26" x14ac:dyDescent="0.3">
      <c r="A2" s="57" t="s">
        <v>1</v>
      </c>
      <c r="B2" s="53"/>
      <c r="C2" s="53"/>
      <c r="D2" s="53"/>
      <c r="E2" s="53"/>
      <c r="F2" s="53"/>
      <c r="G2" s="53"/>
      <c r="H2" s="53"/>
      <c r="I2" s="50"/>
    </row>
    <row r="3" spans="1:9" x14ac:dyDescent="0.2">
      <c r="A3" s="53" t="s">
        <v>94</v>
      </c>
      <c r="B3" s="53"/>
      <c r="C3" s="53"/>
      <c r="D3" s="53"/>
      <c r="E3" s="53"/>
      <c r="F3" s="53"/>
      <c r="G3" s="53"/>
      <c r="H3" s="53"/>
      <c r="I3" s="50"/>
    </row>
    <row r="4" spans="1:9" x14ac:dyDescent="0.2">
      <c r="A4" s="42" t="s">
        <v>218</v>
      </c>
      <c r="B4" s="53"/>
      <c r="C4" s="53"/>
      <c r="D4" s="53"/>
      <c r="E4" s="53"/>
      <c r="F4" s="53"/>
      <c r="G4" s="53"/>
      <c r="H4" s="53"/>
      <c r="I4" s="50"/>
    </row>
    <row r="5" spans="1:9" ht="12" customHeight="1" x14ac:dyDescent="0.2">
      <c r="A5" s="50"/>
      <c r="B5" s="50"/>
      <c r="C5" s="50"/>
      <c r="F5" s="50"/>
      <c r="G5" s="50"/>
      <c r="I5" s="50"/>
    </row>
    <row r="6" spans="1:9" ht="21" x14ac:dyDescent="0.25">
      <c r="A6" s="39" t="s">
        <v>3</v>
      </c>
      <c r="B6" s="50"/>
      <c r="C6" s="50"/>
      <c r="F6" s="50"/>
      <c r="G6" s="50"/>
      <c r="I6" s="50"/>
    </row>
    <row r="7" spans="1:9" x14ac:dyDescent="0.2">
      <c r="A7" s="38" t="s">
        <v>4</v>
      </c>
      <c r="B7" s="38" t="s">
        <v>219</v>
      </c>
      <c r="C7" s="38" t="s">
        <v>220</v>
      </c>
      <c r="D7" s="38" t="s">
        <v>226</v>
      </c>
      <c r="E7" s="38" t="s">
        <v>227</v>
      </c>
      <c r="F7" s="38" t="s">
        <v>222</v>
      </c>
      <c r="G7" s="38" t="s">
        <v>221</v>
      </c>
      <c r="H7" s="38" t="s">
        <v>223</v>
      </c>
      <c r="I7" s="50"/>
    </row>
    <row r="8" spans="1:9" x14ac:dyDescent="0.2">
      <c r="A8" s="82" t="s">
        <v>141</v>
      </c>
      <c r="B8" s="32"/>
      <c r="C8" s="32"/>
      <c r="D8" s="32"/>
      <c r="E8" s="32"/>
      <c r="F8" s="32"/>
      <c r="G8" s="32"/>
      <c r="H8" s="32"/>
      <c r="I8" s="50"/>
    </row>
    <row r="9" spans="1:9" x14ac:dyDescent="0.2">
      <c r="A9" s="58" t="s">
        <v>95</v>
      </c>
      <c r="B9" s="69">
        <v>109518.55</v>
      </c>
      <c r="C9" s="133">
        <v>109518.55</v>
      </c>
      <c r="D9" s="178">
        <v>113280.3</v>
      </c>
      <c r="E9" s="178">
        <v>113280.3</v>
      </c>
      <c r="F9" s="61">
        <f>C9-B9</f>
        <v>0</v>
      </c>
      <c r="G9" s="58" t="s">
        <v>198</v>
      </c>
      <c r="H9" s="115" t="s">
        <v>236</v>
      </c>
      <c r="I9" s="50"/>
    </row>
    <row r="10" spans="1:9" x14ac:dyDescent="0.2">
      <c r="A10" s="58" t="s">
        <v>96</v>
      </c>
      <c r="B10" s="69">
        <v>88907.052320000003</v>
      </c>
      <c r="C10" s="133">
        <v>91555.35</v>
      </c>
      <c r="D10" s="159">
        <f>C10*1.02</f>
        <v>93386.457000000009</v>
      </c>
      <c r="E10" s="159"/>
      <c r="F10" s="61">
        <f>C10-B10</f>
        <v>2648.2976800000033</v>
      </c>
      <c r="G10" s="58" t="s">
        <v>195</v>
      </c>
      <c r="H10" s="115" t="s">
        <v>237</v>
      </c>
      <c r="I10" s="50"/>
    </row>
    <row r="11" spans="1:9" s="50" customFormat="1" x14ac:dyDescent="0.2">
      <c r="A11" s="58" t="s">
        <v>152</v>
      </c>
      <c r="B11" s="69">
        <v>13000</v>
      </c>
      <c r="C11" s="133">
        <v>14565.25</v>
      </c>
      <c r="D11" s="159">
        <f>(D9/C9) * C11</f>
        <v>15065.538117286978</v>
      </c>
      <c r="E11" s="159"/>
      <c r="F11" s="61">
        <f>C11-B11</f>
        <v>1565.25</v>
      </c>
      <c r="G11" s="58"/>
      <c r="H11" s="115" t="s">
        <v>158</v>
      </c>
    </row>
    <row r="12" spans="1:9" s="50" customFormat="1" x14ac:dyDescent="0.2">
      <c r="A12" s="58" t="s">
        <v>153</v>
      </c>
      <c r="B12" s="127">
        <v>0</v>
      </c>
      <c r="C12" s="147">
        <v>0</v>
      </c>
      <c r="D12" s="160"/>
      <c r="E12" s="160"/>
      <c r="F12" s="61">
        <f t="shared" ref="F12:F28" si="0">B12-C12</f>
        <v>0</v>
      </c>
      <c r="G12" s="58" t="s">
        <v>158</v>
      </c>
      <c r="H12" s="115" t="s">
        <v>158</v>
      </c>
    </row>
    <row r="13" spans="1:9" s="50" customFormat="1" x14ac:dyDescent="0.2">
      <c r="A13" s="83" t="s">
        <v>142</v>
      </c>
      <c r="B13" s="69"/>
      <c r="C13" s="69"/>
      <c r="D13" s="159"/>
      <c r="E13" s="159"/>
      <c r="F13" s="61">
        <f t="shared" si="0"/>
        <v>0</v>
      </c>
      <c r="G13" s="58"/>
      <c r="H13" s="115"/>
    </row>
    <row r="14" spans="1:9" s="50" customFormat="1" x14ac:dyDescent="0.2">
      <c r="A14" s="58" t="s">
        <v>75</v>
      </c>
      <c r="B14" s="129">
        <f>President!B11</f>
        <v>6040</v>
      </c>
      <c r="C14" s="132">
        <v>5029.3</v>
      </c>
      <c r="D14" s="129">
        <f>President!D11</f>
        <v>7657.5</v>
      </c>
      <c r="E14" s="161"/>
      <c r="F14" s="61">
        <f t="shared" si="0"/>
        <v>1010.6999999999998</v>
      </c>
      <c r="G14" s="58" t="s">
        <v>76</v>
      </c>
      <c r="H14" s="115" t="s">
        <v>224</v>
      </c>
    </row>
    <row r="15" spans="1:9" x14ac:dyDescent="0.2">
      <c r="A15" s="58" t="s">
        <v>77</v>
      </c>
      <c r="B15" s="61">
        <v>0</v>
      </c>
      <c r="C15" s="61">
        <v>0</v>
      </c>
      <c r="D15" s="161"/>
      <c r="E15" s="161"/>
      <c r="F15" s="61">
        <f t="shared" si="0"/>
        <v>0</v>
      </c>
      <c r="G15" s="58"/>
      <c r="H15" s="115"/>
      <c r="I15" s="50"/>
    </row>
    <row r="16" spans="1:9" s="50" customFormat="1" x14ac:dyDescent="0.2">
      <c r="A16" s="58" t="s">
        <v>78</v>
      </c>
      <c r="B16" s="61">
        <f>'VP Internal'!B16</f>
        <v>100</v>
      </c>
      <c r="C16" s="156">
        <v>6450.16</v>
      </c>
      <c r="D16" s="61">
        <f>'VP Internal'!D16</f>
        <v>3500</v>
      </c>
      <c r="E16" s="162"/>
      <c r="F16" s="61">
        <f t="shared" si="0"/>
        <v>-6350.16</v>
      </c>
      <c r="G16" s="58" t="s">
        <v>79</v>
      </c>
      <c r="H16" s="115"/>
    </row>
    <row r="17" spans="1:9" x14ac:dyDescent="0.2">
      <c r="A17" s="58" t="s">
        <v>80</v>
      </c>
      <c r="B17" s="61">
        <v>0</v>
      </c>
      <c r="C17" s="61">
        <v>0</v>
      </c>
      <c r="D17" s="161"/>
      <c r="E17" s="161"/>
      <c r="F17" s="61">
        <f t="shared" si="0"/>
        <v>0</v>
      </c>
      <c r="G17" s="58"/>
      <c r="H17" s="115"/>
      <c r="I17" s="50"/>
    </row>
    <row r="18" spans="1:9" x14ac:dyDescent="0.2">
      <c r="A18" s="58" t="s">
        <v>89</v>
      </c>
      <c r="B18" s="75">
        <f>'VP External'!B13</f>
        <v>30925.54</v>
      </c>
      <c r="C18" s="132">
        <v>14600.96</v>
      </c>
      <c r="D18" s="75">
        <f>'VP External'!D13</f>
        <v>17500</v>
      </c>
      <c r="E18" s="161"/>
      <c r="F18" s="61">
        <f t="shared" si="0"/>
        <v>16324.580000000002</v>
      </c>
      <c r="G18" s="58" t="s">
        <v>157</v>
      </c>
      <c r="H18" s="115"/>
      <c r="I18" s="50"/>
    </row>
    <row r="19" spans="1:9" s="50" customFormat="1" x14ac:dyDescent="0.2">
      <c r="A19" s="58" t="s">
        <v>82</v>
      </c>
      <c r="B19" s="61">
        <v>0</v>
      </c>
      <c r="C19" s="61">
        <v>0</v>
      </c>
      <c r="D19" s="161"/>
      <c r="E19" s="161"/>
      <c r="F19" s="61">
        <f t="shared" si="0"/>
        <v>0</v>
      </c>
      <c r="G19" s="58"/>
      <c r="H19" s="115"/>
    </row>
    <row r="20" spans="1:9" x14ac:dyDescent="0.2">
      <c r="A20" s="58" t="s">
        <v>84</v>
      </c>
      <c r="B20" s="75">
        <f>'VP Social'!B14</f>
        <v>37000</v>
      </c>
      <c r="C20" s="134">
        <f>'VP Social'!C14</f>
        <v>40568.58</v>
      </c>
      <c r="D20" s="75">
        <f>'VP Social'!D14</f>
        <v>135500</v>
      </c>
      <c r="E20" s="161"/>
      <c r="F20" s="61">
        <f t="shared" si="0"/>
        <v>-3568.5800000000017</v>
      </c>
      <c r="G20" s="58"/>
      <c r="H20" s="115"/>
      <c r="I20" s="50"/>
    </row>
    <row r="21" spans="1:9" ht="17.25" customHeight="1" x14ac:dyDescent="0.2">
      <c r="A21" s="83" t="s">
        <v>150</v>
      </c>
      <c r="B21" s="75"/>
      <c r="C21" s="61"/>
      <c r="D21" s="161"/>
      <c r="E21" s="161"/>
      <c r="F21" s="61">
        <f t="shared" si="0"/>
        <v>0</v>
      </c>
      <c r="G21" s="58" t="s">
        <v>151</v>
      </c>
      <c r="H21" s="115"/>
      <c r="I21" s="50"/>
    </row>
    <row r="22" spans="1:9" s="94" customFormat="1" ht="17.25" customHeight="1" x14ac:dyDescent="0.2">
      <c r="A22" s="125" t="s">
        <v>214</v>
      </c>
      <c r="B22" s="75">
        <v>0</v>
      </c>
      <c r="C22" s="132">
        <f>48881.79 - C11 - 20410.07</f>
        <v>13906.470000000001</v>
      </c>
      <c r="D22" s="161">
        <v>10000</v>
      </c>
      <c r="E22" s="161"/>
      <c r="F22" s="61">
        <f t="shared" si="0"/>
        <v>-13906.470000000001</v>
      </c>
      <c r="G22" s="115"/>
      <c r="H22" s="115"/>
    </row>
    <row r="23" spans="1:9" x14ac:dyDescent="0.2">
      <c r="A23" s="58" t="s">
        <v>159</v>
      </c>
      <c r="B23" s="90">
        <v>274984.21000000002</v>
      </c>
      <c r="C23" s="132">
        <v>273149.12</v>
      </c>
      <c r="D23" s="162">
        <v>237382</v>
      </c>
      <c r="E23" s="161"/>
      <c r="F23" s="61">
        <f t="shared" si="0"/>
        <v>1835.0900000000256</v>
      </c>
      <c r="G23" s="73" t="s">
        <v>144</v>
      </c>
      <c r="H23" s="73"/>
      <c r="I23" s="50"/>
    </row>
    <row r="24" spans="1:9" x14ac:dyDescent="0.2">
      <c r="A24" s="83" t="s">
        <v>143</v>
      </c>
      <c r="B24" s="75"/>
      <c r="C24" s="61"/>
      <c r="D24" s="161"/>
      <c r="E24" s="161"/>
      <c r="F24" s="61">
        <f t="shared" si="0"/>
        <v>0</v>
      </c>
      <c r="G24" s="58"/>
      <c r="H24" s="115"/>
      <c r="I24" s="50"/>
    </row>
    <row r="25" spans="1:9" x14ac:dyDescent="0.2">
      <c r="A25" s="58" t="s">
        <v>92</v>
      </c>
      <c r="B25" s="61">
        <v>3095.33</v>
      </c>
      <c r="C25" s="132">
        <v>3095.33</v>
      </c>
      <c r="D25" s="161">
        <v>750</v>
      </c>
      <c r="E25" s="161"/>
      <c r="F25" s="61">
        <f t="shared" si="0"/>
        <v>0</v>
      </c>
      <c r="G25" s="58" t="s">
        <v>205</v>
      </c>
      <c r="H25" s="115"/>
      <c r="I25" s="50"/>
    </row>
    <row r="26" spans="1:9" x14ac:dyDescent="0.2">
      <c r="A26" s="83" t="s">
        <v>147</v>
      </c>
      <c r="B26" s="61"/>
      <c r="C26" s="61"/>
      <c r="D26" s="161"/>
      <c r="E26" s="161"/>
      <c r="F26" s="61">
        <f t="shared" si="0"/>
        <v>0</v>
      </c>
      <c r="G26" s="58"/>
      <c r="H26" s="115"/>
      <c r="I26" s="50"/>
    </row>
    <row r="27" spans="1:9" x14ac:dyDescent="0.2">
      <c r="A27" s="58" t="s">
        <v>148</v>
      </c>
      <c r="B27" s="126">
        <v>171530.21299999999</v>
      </c>
      <c r="C27" s="150">
        <v>139191</v>
      </c>
      <c r="D27" s="163">
        <f>C27*1.13</f>
        <v>157285.82999999999</v>
      </c>
      <c r="E27" s="163"/>
      <c r="F27" s="61">
        <f t="shared" si="0"/>
        <v>32339.212999999989</v>
      </c>
      <c r="G27" s="58" t="s">
        <v>208</v>
      </c>
      <c r="H27" s="115" t="s">
        <v>225</v>
      </c>
      <c r="I27" s="50"/>
    </row>
    <row r="28" spans="1:9" x14ac:dyDescent="0.2">
      <c r="A28" s="55" t="s">
        <v>9</v>
      </c>
      <c r="B28" s="62">
        <f>SUM(B9:B27)</f>
        <v>735100.89532000001</v>
      </c>
      <c r="C28" s="110">
        <f>SUM(C9:C27)</f>
        <v>711630.07</v>
      </c>
      <c r="D28" s="110">
        <f>SUM(D9:D27)</f>
        <v>791307.62511728692</v>
      </c>
      <c r="E28" s="110">
        <f>SUM(E9:E27)</f>
        <v>113280.3</v>
      </c>
      <c r="F28" s="110">
        <f t="shared" si="0"/>
        <v>23470.825320000062</v>
      </c>
      <c r="G28" s="55"/>
      <c r="H28" s="55"/>
      <c r="I28" s="50"/>
    </row>
    <row r="29" spans="1:9" x14ac:dyDescent="0.2">
      <c r="A29" s="40"/>
      <c r="B29" s="40"/>
      <c r="C29" s="40"/>
      <c r="D29" s="164"/>
      <c r="E29" s="164"/>
      <c r="F29" s="40"/>
      <c r="G29" s="40"/>
      <c r="H29" s="40"/>
      <c r="I29" s="50"/>
    </row>
    <row r="30" spans="1:9" ht="21" x14ac:dyDescent="0.25">
      <c r="A30" s="52" t="s">
        <v>10</v>
      </c>
      <c r="B30" s="59"/>
      <c r="C30" s="59"/>
      <c r="D30" s="99"/>
      <c r="E30" s="99"/>
      <c r="F30" s="59"/>
      <c r="G30" s="59"/>
      <c r="H30" s="99"/>
      <c r="I30" s="50"/>
    </row>
    <row r="31" spans="1:9" x14ac:dyDescent="0.2">
      <c r="A31" s="51" t="s">
        <v>4</v>
      </c>
      <c r="B31" s="51" t="s">
        <v>5</v>
      </c>
      <c r="C31" s="51" t="s">
        <v>6</v>
      </c>
      <c r="D31" s="179"/>
      <c r="E31" s="179"/>
      <c r="F31" s="51" t="s">
        <v>7</v>
      </c>
      <c r="G31" s="51" t="s">
        <v>8</v>
      </c>
      <c r="H31" s="51" t="s">
        <v>8</v>
      </c>
      <c r="I31" s="50"/>
    </row>
    <row r="32" spans="1:9" x14ac:dyDescent="0.2">
      <c r="A32" s="84" t="s">
        <v>137</v>
      </c>
      <c r="B32" s="32"/>
      <c r="C32" s="32"/>
      <c r="D32" s="32"/>
      <c r="E32" s="32"/>
      <c r="F32" s="32"/>
      <c r="G32" s="32"/>
      <c r="H32" s="32"/>
      <c r="I32" s="50"/>
    </row>
    <row r="33" spans="1:9" s="50" customFormat="1" x14ac:dyDescent="0.2">
      <c r="A33" s="58" t="s">
        <v>83</v>
      </c>
      <c r="B33" s="61">
        <v>39102.5</v>
      </c>
      <c r="C33" s="132">
        <f>39102.5+750</f>
        <v>39852.5</v>
      </c>
      <c r="D33" s="162">
        <v>41000</v>
      </c>
      <c r="E33" s="161"/>
      <c r="F33" s="61">
        <f t="shared" ref="F33:F42" si="1">B33-C33</f>
        <v>-750</v>
      </c>
      <c r="G33" s="58" t="s">
        <v>97</v>
      </c>
      <c r="H33" s="115"/>
    </row>
    <row r="34" spans="1:9" s="50" customFormat="1" x14ac:dyDescent="0.2">
      <c r="A34" s="58" t="s">
        <v>100</v>
      </c>
      <c r="B34" s="61">
        <v>20000</v>
      </c>
      <c r="C34" s="132">
        <v>7524</v>
      </c>
      <c r="D34" s="162">
        <f>(D9+D10)*0.1</f>
        <v>20666.675700000003</v>
      </c>
      <c r="E34" s="161"/>
      <c r="F34" s="61">
        <f t="shared" si="1"/>
        <v>12476</v>
      </c>
      <c r="G34" s="58" t="s">
        <v>101</v>
      </c>
      <c r="H34" s="115"/>
    </row>
    <row r="35" spans="1:9" s="50" customFormat="1" x14ac:dyDescent="0.2">
      <c r="A35" s="58" t="s">
        <v>98</v>
      </c>
      <c r="B35" s="61">
        <f>B34</f>
        <v>20000</v>
      </c>
      <c r="C35" s="132">
        <v>11360</v>
      </c>
      <c r="D35" s="162">
        <f>(D9+D10)*0.1</f>
        <v>20666.675700000003</v>
      </c>
      <c r="E35" s="161"/>
      <c r="F35" s="61">
        <f t="shared" si="1"/>
        <v>8640</v>
      </c>
      <c r="G35" s="58" t="s">
        <v>102</v>
      </c>
      <c r="H35" s="115"/>
    </row>
    <row r="36" spans="1:9" s="50" customFormat="1" x14ac:dyDescent="0.2">
      <c r="A36" s="58" t="s">
        <v>99</v>
      </c>
      <c r="B36" s="61">
        <v>10000</v>
      </c>
      <c r="C36" s="132">
        <v>7925</v>
      </c>
      <c r="D36" s="162">
        <f>D35/2</f>
        <v>10333.337850000002</v>
      </c>
      <c r="E36" s="161"/>
      <c r="F36" s="61">
        <f t="shared" si="1"/>
        <v>2075</v>
      </c>
      <c r="G36" s="58" t="s">
        <v>103</v>
      </c>
      <c r="H36" s="115"/>
    </row>
    <row r="37" spans="1:9" s="50" customFormat="1" x14ac:dyDescent="0.2">
      <c r="A37" s="58" t="s">
        <v>190</v>
      </c>
      <c r="B37" s="61">
        <v>13500</v>
      </c>
      <c r="C37" s="132">
        <v>10809</v>
      </c>
      <c r="D37" s="162">
        <f>C37*1.07</f>
        <v>11565.630000000001</v>
      </c>
      <c r="E37" s="161"/>
      <c r="F37" s="61">
        <f t="shared" si="1"/>
        <v>2691</v>
      </c>
      <c r="G37" s="58" t="s">
        <v>191</v>
      </c>
      <c r="H37" s="115"/>
    </row>
    <row r="38" spans="1:9" s="50" customFormat="1" x14ac:dyDescent="0.2">
      <c r="A38" s="58" t="s">
        <v>153</v>
      </c>
      <c r="B38" s="128">
        <v>0</v>
      </c>
      <c r="C38" s="128">
        <v>0</v>
      </c>
      <c r="D38" s="160"/>
      <c r="E38" s="160"/>
      <c r="F38" s="61">
        <f t="shared" si="1"/>
        <v>0</v>
      </c>
      <c r="G38" s="58" t="s">
        <v>197</v>
      </c>
      <c r="H38" s="115"/>
    </row>
    <row r="39" spans="1:9" s="50" customFormat="1" x14ac:dyDescent="0.2">
      <c r="A39" s="85" t="s">
        <v>138</v>
      </c>
      <c r="B39" s="61"/>
      <c r="C39" s="61"/>
      <c r="D39" s="161"/>
      <c r="E39" s="161"/>
      <c r="F39" s="61">
        <f t="shared" si="1"/>
        <v>0</v>
      </c>
      <c r="G39" s="58"/>
      <c r="H39" s="115"/>
    </row>
    <row r="40" spans="1:9" s="50" customFormat="1" x14ac:dyDescent="0.2">
      <c r="A40" s="58" t="s">
        <v>88</v>
      </c>
      <c r="B40" s="75">
        <v>273062.88</v>
      </c>
      <c r="C40" s="132">
        <v>283023.76</v>
      </c>
      <c r="D40" s="162">
        <v>229127.45</v>
      </c>
      <c r="E40" s="161"/>
      <c r="F40" s="61">
        <f t="shared" si="1"/>
        <v>-9960.8800000000047</v>
      </c>
      <c r="G40" s="58"/>
      <c r="H40" s="115"/>
    </row>
    <row r="41" spans="1:9" x14ac:dyDescent="0.2">
      <c r="A41" s="58" t="s">
        <v>107</v>
      </c>
      <c r="B41" s="61">
        <v>13000</v>
      </c>
      <c r="C41" s="153">
        <v>34138.17</v>
      </c>
      <c r="D41" s="180">
        <v>25000</v>
      </c>
      <c r="E41" s="165"/>
      <c r="F41" s="61">
        <f t="shared" si="1"/>
        <v>-21138.17</v>
      </c>
      <c r="G41" s="58" t="s">
        <v>209</v>
      </c>
      <c r="H41" s="115"/>
      <c r="I41" s="50"/>
    </row>
    <row r="42" spans="1:9" x14ac:dyDescent="0.2">
      <c r="A42" s="58" t="s">
        <v>136</v>
      </c>
      <c r="B42" s="74">
        <v>4000</v>
      </c>
      <c r="C42" s="132">
        <v>-267.52999999999997</v>
      </c>
      <c r="D42" s="162">
        <v>1000</v>
      </c>
      <c r="E42" s="161"/>
      <c r="F42" s="61">
        <f t="shared" si="1"/>
        <v>4267.53</v>
      </c>
      <c r="G42" s="58"/>
      <c r="H42" s="115"/>
      <c r="I42" s="50"/>
    </row>
    <row r="43" spans="1:9" x14ac:dyDescent="0.2">
      <c r="A43" s="85" t="s">
        <v>139</v>
      </c>
      <c r="B43" s="61"/>
      <c r="C43" s="61"/>
      <c r="D43" s="161"/>
      <c r="E43" s="161"/>
      <c r="F43" s="61"/>
      <c r="G43" s="58"/>
      <c r="H43" s="115"/>
      <c r="I43" s="50"/>
    </row>
    <row r="44" spans="1:9" x14ac:dyDescent="0.2">
      <c r="A44" s="58" t="s">
        <v>13</v>
      </c>
      <c r="B44" s="61">
        <f>President!B40</f>
        <v>17302</v>
      </c>
      <c r="C44" s="132">
        <f>21067.07+22.47</f>
        <v>21089.54</v>
      </c>
      <c r="D44" s="61">
        <f>President!D40</f>
        <v>25558.163</v>
      </c>
      <c r="E44" s="161"/>
      <c r="F44" s="61">
        <f t="shared" ref="F44:F51" si="2">B44-C44</f>
        <v>-3787.5400000000009</v>
      </c>
      <c r="G44" s="58" t="s">
        <v>85</v>
      </c>
      <c r="H44" s="115"/>
      <c r="I44" s="50"/>
    </row>
    <row r="45" spans="1:9" x14ac:dyDescent="0.2">
      <c r="A45" s="58" t="s">
        <v>77</v>
      </c>
      <c r="B45" s="71">
        <f>'VP Finance'!B25</f>
        <v>14500.04</v>
      </c>
      <c r="C45" s="132">
        <v>19384.27</v>
      </c>
      <c r="D45" s="71">
        <f>'VP Finance'!D25</f>
        <v>19950</v>
      </c>
      <c r="E45" s="161"/>
      <c r="F45" s="61">
        <f t="shared" si="2"/>
        <v>-4884.2299999999996</v>
      </c>
      <c r="G45" s="58" t="s">
        <v>85</v>
      </c>
      <c r="H45" s="115"/>
    </row>
    <row r="46" spans="1:9" x14ac:dyDescent="0.2">
      <c r="A46" s="58" t="s">
        <v>78</v>
      </c>
      <c r="B46" s="61">
        <f>'VP Internal'!B36</f>
        <v>11760</v>
      </c>
      <c r="C46" s="61">
        <v>14050.73</v>
      </c>
      <c r="D46" s="61">
        <f>'VP Internal'!D36</f>
        <v>13920</v>
      </c>
      <c r="E46" s="161"/>
      <c r="F46" s="61">
        <f t="shared" si="2"/>
        <v>-2290.7299999999996</v>
      </c>
      <c r="G46" s="58" t="s">
        <v>85</v>
      </c>
      <c r="H46" s="115"/>
    </row>
    <row r="47" spans="1:9" x14ac:dyDescent="0.2">
      <c r="A47" s="44" t="s">
        <v>80</v>
      </c>
      <c r="B47" s="45">
        <f>'VP Academic'!B23</f>
        <v>14950</v>
      </c>
      <c r="C47" s="151">
        <v>7765.09</v>
      </c>
      <c r="D47" s="45">
        <f>'VP Academic'!D23</f>
        <v>11148</v>
      </c>
      <c r="E47" s="166"/>
      <c r="F47" s="61">
        <f t="shared" si="2"/>
        <v>7184.91</v>
      </c>
      <c r="G47" s="49" t="s">
        <v>85</v>
      </c>
      <c r="H47" s="49"/>
    </row>
    <row r="48" spans="1:9" x14ac:dyDescent="0.2">
      <c r="A48" s="58" t="s">
        <v>81</v>
      </c>
      <c r="B48" s="61">
        <f>'VP External'!B25</f>
        <v>4250</v>
      </c>
      <c r="C48" s="132">
        <v>4987.25</v>
      </c>
      <c r="D48" s="61">
        <f>'VP External'!D25</f>
        <v>6000</v>
      </c>
      <c r="E48" s="161"/>
      <c r="F48" s="61">
        <f t="shared" si="2"/>
        <v>-737.25</v>
      </c>
      <c r="G48" s="58" t="s">
        <v>85</v>
      </c>
      <c r="H48" s="115"/>
    </row>
    <row r="49" spans="1:8" x14ac:dyDescent="0.2">
      <c r="A49" s="58" t="s">
        <v>82</v>
      </c>
      <c r="B49" s="61">
        <f>'VP Communications'!B35</f>
        <v>21617.64</v>
      </c>
      <c r="C49" s="61">
        <v>19045.21</v>
      </c>
      <c r="D49" s="61">
        <f>'VP Communications'!D35</f>
        <v>20965.12</v>
      </c>
      <c r="E49" s="161"/>
      <c r="F49" s="61">
        <f t="shared" si="2"/>
        <v>2572.4300000000003</v>
      </c>
      <c r="G49" s="58" t="s">
        <v>85</v>
      </c>
      <c r="H49" s="115"/>
    </row>
    <row r="50" spans="1:8" x14ac:dyDescent="0.2">
      <c r="A50" s="58" t="s">
        <v>84</v>
      </c>
      <c r="B50" s="76">
        <f>'VP Social'!B34</f>
        <v>40000</v>
      </c>
      <c r="C50" s="134">
        <v>46773.03</v>
      </c>
      <c r="D50" s="76">
        <f>'VP Social'!D34</f>
        <v>156000</v>
      </c>
      <c r="E50" s="161"/>
      <c r="F50" s="61">
        <f t="shared" si="2"/>
        <v>-6773.0299999999988</v>
      </c>
      <c r="G50" s="58" t="s">
        <v>85</v>
      </c>
      <c r="H50" s="115"/>
    </row>
    <row r="51" spans="1:8" x14ac:dyDescent="0.2">
      <c r="A51" s="58" t="s">
        <v>146</v>
      </c>
      <c r="B51" s="76">
        <v>500</v>
      </c>
      <c r="C51" s="132">
        <f>224.99</f>
        <v>224.99</v>
      </c>
      <c r="D51" s="161">
        <v>500</v>
      </c>
      <c r="E51" s="161"/>
      <c r="F51" s="61">
        <f t="shared" si="2"/>
        <v>275.01</v>
      </c>
      <c r="G51" s="58"/>
      <c r="H51" s="115"/>
    </row>
    <row r="52" spans="1:8" x14ac:dyDescent="0.2">
      <c r="A52" s="85" t="s">
        <v>140</v>
      </c>
      <c r="B52" s="76"/>
      <c r="C52" s="61"/>
      <c r="D52" s="161"/>
      <c r="E52" s="161"/>
      <c r="F52" s="61"/>
      <c r="G52" s="58"/>
      <c r="H52" s="115"/>
    </row>
    <row r="53" spans="1:8" x14ac:dyDescent="0.2">
      <c r="A53" s="58" t="s">
        <v>93</v>
      </c>
      <c r="B53" s="61">
        <v>6000</v>
      </c>
      <c r="C53" s="132">
        <v>6000</v>
      </c>
      <c r="D53" s="162">
        <v>7000</v>
      </c>
      <c r="E53" s="161"/>
      <c r="F53" s="61">
        <f>B53-C53</f>
        <v>0</v>
      </c>
      <c r="G53" s="58" t="s">
        <v>131</v>
      </c>
      <c r="H53" s="115"/>
    </row>
    <row r="54" spans="1:8" x14ac:dyDescent="0.2">
      <c r="A54" s="58" t="s">
        <v>86</v>
      </c>
      <c r="B54" s="61">
        <f>'Office Expenses'!B25</f>
        <v>4920.53</v>
      </c>
      <c r="C54" s="132">
        <v>9787.73</v>
      </c>
      <c r="D54" s="61">
        <f>'Office Expenses'!D25</f>
        <v>6800</v>
      </c>
      <c r="E54" s="161"/>
      <c r="F54" s="61">
        <f>B54-C54</f>
        <v>-4867.2</v>
      </c>
      <c r="G54" s="58" t="s">
        <v>145</v>
      </c>
      <c r="H54" s="115"/>
    </row>
    <row r="55" spans="1:8" x14ac:dyDescent="0.2">
      <c r="A55" s="58" t="s">
        <v>204</v>
      </c>
      <c r="B55" s="61">
        <f>1600*0.55 + 850*0.75</f>
        <v>1517.5</v>
      </c>
      <c r="C55" s="132">
        <v>1287.76</v>
      </c>
      <c r="D55" s="161">
        <v>1300</v>
      </c>
      <c r="E55" s="161"/>
      <c r="F55" s="61">
        <f>B55-C55</f>
        <v>229.74</v>
      </c>
      <c r="G55" s="58" t="s">
        <v>196</v>
      </c>
      <c r="H55" s="115"/>
    </row>
    <row r="56" spans="1:8" s="94" customFormat="1" x14ac:dyDescent="0.2">
      <c r="A56" s="115" t="s">
        <v>213</v>
      </c>
      <c r="B56" s="61">
        <v>0</v>
      </c>
      <c r="C56" s="132">
        <v>34</v>
      </c>
      <c r="D56" s="161">
        <v>100</v>
      </c>
      <c r="E56" s="161"/>
      <c r="F56" s="61">
        <f>B56-C56</f>
        <v>-34</v>
      </c>
      <c r="G56" s="115"/>
      <c r="H56" s="115"/>
    </row>
    <row r="57" spans="1:8" s="94" customFormat="1" x14ac:dyDescent="0.2">
      <c r="A57" s="115" t="s">
        <v>252</v>
      </c>
      <c r="B57" s="61"/>
      <c r="C57" s="132"/>
      <c r="D57" s="187">
        <v>10000</v>
      </c>
      <c r="E57" s="161"/>
      <c r="F57" s="61"/>
      <c r="G57" s="115"/>
      <c r="H57" s="115"/>
    </row>
    <row r="58" spans="1:8" s="94" customFormat="1" x14ac:dyDescent="0.2">
      <c r="A58" s="115" t="s">
        <v>215</v>
      </c>
      <c r="B58" s="61">
        <v>0</v>
      </c>
      <c r="C58" s="132">
        <f>SUM(C9:C10)*0.05</f>
        <v>10053.695000000002</v>
      </c>
      <c r="D58" s="186">
        <v>10333.338</v>
      </c>
      <c r="E58" s="161"/>
      <c r="F58" s="61">
        <f>B58-C58</f>
        <v>-10053.695000000002</v>
      </c>
      <c r="G58" s="115"/>
      <c r="H58" s="115"/>
    </row>
    <row r="59" spans="1:8" x14ac:dyDescent="0.2">
      <c r="A59" s="85" t="s">
        <v>147</v>
      </c>
      <c r="B59" s="61"/>
      <c r="C59" s="61"/>
      <c r="D59" s="161"/>
      <c r="E59" s="161"/>
      <c r="F59" s="61"/>
      <c r="G59" s="58"/>
      <c r="H59" s="115"/>
    </row>
    <row r="60" spans="1:8" x14ac:dyDescent="0.2">
      <c r="A60" s="58" t="s">
        <v>149</v>
      </c>
      <c r="B60" s="61">
        <v>176536.93</v>
      </c>
      <c r="C60" s="132">
        <v>116815</v>
      </c>
      <c r="D60" s="162">
        <f>C60*1.08</f>
        <v>126160.20000000001</v>
      </c>
      <c r="E60" s="161"/>
      <c r="F60" s="61">
        <f>B60-C60</f>
        <v>59721.929999999993</v>
      </c>
      <c r="G60" s="58" t="s">
        <v>192</v>
      </c>
      <c r="H60" s="115"/>
    </row>
    <row r="61" spans="1:8" x14ac:dyDescent="0.2">
      <c r="A61" s="55" t="s">
        <v>11</v>
      </c>
      <c r="B61" s="62">
        <f>SUM(B33:B60)</f>
        <v>706520.02</v>
      </c>
      <c r="C61" s="62">
        <f>SUM(C33:C60)</f>
        <v>671663.19499999995</v>
      </c>
      <c r="D61" s="62">
        <f>SUM(D33:D60)</f>
        <v>775094.59024999989</v>
      </c>
      <c r="E61" s="62">
        <f>SUM(E33:E60)</f>
        <v>0</v>
      </c>
      <c r="F61" s="62">
        <f>B61-C61</f>
        <v>34856.82500000007</v>
      </c>
      <c r="G61" s="55"/>
      <c r="H61" s="55"/>
    </row>
    <row r="62" spans="1:8" x14ac:dyDescent="0.2">
      <c r="A62" s="58"/>
      <c r="B62" s="58"/>
      <c r="C62" s="58"/>
      <c r="D62" s="115"/>
      <c r="E62" s="115"/>
      <c r="F62" s="58"/>
      <c r="G62" s="58"/>
      <c r="H62" s="115"/>
    </row>
    <row r="63" spans="1:8" ht="21" x14ac:dyDescent="0.25">
      <c r="A63" s="60" t="s">
        <v>12</v>
      </c>
      <c r="B63" s="86">
        <f>B28-B61</f>
        <v>28580.875319999992</v>
      </c>
      <c r="C63" s="86">
        <f>C28-C61</f>
        <v>39966.875</v>
      </c>
      <c r="D63" s="86">
        <f>D28-D61</f>
        <v>16213.034867287031</v>
      </c>
      <c r="E63" s="86">
        <f>E28-E61</f>
        <v>113280.3</v>
      </c>
      <c r="F63" s="131">
        <f>B63-C63</f>
        <v>-11385.999680000008</v>
      </c>
      <c r="G63" s="54"/>
      <c r="H63" s="54"/>
    </row>
    <row r="64" spans="1:8" x14ac:dyDescent="0.2">
      <c r="A64" s="50"/>
      <c r="B64" s="50"/>
      <c r="C64" s="50"/>
      <c r="F64" s="50"/>
      <c r="G64" s="50"/>
    </row>
    <row r="65" spans="1:8" x14ac:dyDescent="0.2">
      <c r="A65" s="87" t="s">
        <v>155</v>
      </c>
      <c r="B65" s="88">
        <f>B63</f>
        <v>28580.875319999992</v>
      </c>
      <c r="C65" s="87"/>
      <c r="D65" s="185">
        <v>10333.338</v>
      </c>
      <c r="E65" s="87"/>
      <c r="F65" s="87"/>
      <c r="G65" s="87" t="s">
        <v>156</v>
      </c>
      <c r="H65" s="87" t="s">
        <v>156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22" workbookViewId="0">
      <selection activeCell="D24" sqref="D24"/>
    </sheetView>
  </sheetViews>
  <sheetFormatPr baseColWidth="10" defaultColWidth="8.83203125" defaultRowHeight="15" x14ac:dyDescent="0.2"/>
  <cols>
    <col min="1" max="1" width="36" customWidth="1"/>
    <col min="2" max="2" width="17.1640625" customWidth="1"/>
    <col min="3" max="3" width="13.6640625" customWidth="1"/>
    <col min="4" max="4" width="17.1640625" style="94" customWidth="1"/>
    <col min="5" max="5" width="13.6640625" style="94" customWidth="1"/>
    <col min="6" max="6" width="15.33203125" customWidth="1"/>
    <col min="7" max="7" width="87.1640625" customWidth="1"/>
  </cols>
  <sheetData>
    <row r="1" spans="1:7" ht="26" x14ac:dyDescent="0.3">
      <c r="A1" s="56" t="s">
        <v>0</v>
      </c>
      <c r="B1" s="53"/>
      <c r="C1" s="17"/>
      <c r="D1" s="53"/>
      <c r="E1" s="17"/>
      <c r="F1" s="53"/>
      <c r="G1" s="53"/>
    </row>
    <row r="2" spans="1:7" ht="26" x14ac:dyDescent="0.3">
      <c r="A2" s="57" t="s">
        <v>1</v>
      </c>
      <c r="B2" s="53"/>
      <c r="C2" s="17"/>
      <c r="D2" s="53"/>
      <c r="E2" s="17"/>
      <c r="F2" s="53"/>
      <c r="G2" s="53"/>
    </row>
    <row r="3" spans="1:7" x14ac:dyDescent="0.2">
      <c r="A3" s="53" t="s">
        <v>13</v>
      </c>
      <c r="B3" s="53"/>
      <c r="C3" s="17"/>
      <c r="D3" s="53"/>
      <c r="E3" s="17"/>
      <c r="F3" s="53"/>
      <c r="G3" s="53"/>
    </row>
    <row r="4" spans="1:7" x14ac:dyDescent="0.2">
      <c r="A4" s="10"/>
      <c r="B4" s="53"/>
      <c r="C4" s="17"/>
      <c r="D4" s="53"/>
      <c r="E4" s="17"/>
      <c r="F4" s="53"/>
      <c r="G4" s="53"/>
    </row>
    <row r="5" spans="1:7" x14ac:dyDescent="0.2">
      <c r="A5" s="50"/>
      <c r="B5" s="50"/>
      <c r="C5" s="18"/>
      <c r="E5" s="18"/>
      <c r="F5" s="50"/>
      <c r="G5" s="50"/>
    </row>
    <row r="6" spans="1:7" ht="21" x14ac:dyDescent="0.25">
      <c r="A6" s="39" t="s">
        <v>3</v>
      </c>
      <c r="B6" s="50"/>
      <c r="C6" s="18"/>
      <c r="E6" s="18"/>
      <c r="F6" s="50"/>
      <c r="G6" s="50"/>
    </row>
    <row r="7" spans="1:7" x14ac:dyDescent="0.2">
      <c r="A7" s="38" t="s">
        <v>4</v>
      </c>
      <c r="B7" s="38" t="s">
        <v>219</v>
      </c>
      <c r="C7" s="19" t="s">
        <v>220</v>
      </c>
      <c r="D7" s="38" t="s">
        <v>226</v>
      </c>
      <c r="E7" s="19" t="s">
        <v>227</v>
      </c>
      <c r="F7" s="38" t="s">
        <v>222</v>
      </c>
      <c r="G7" s="38" t="s">
        <v>221</v>
      </c>
    </row>
    <row r="8" spans="1:7" x14ac:dyDescent="0.2">
      <c r="A8" s="9" t="s">
        <v>14</v>
      </c>
      <c r="B8" s="20">
        <v>1950</v>
      </c>
      <c r="C8" s="145">
        <f>244.3+445</f>
        <v>689.3</v>
      </c>
      <c r="D8" s="20">
        <f>B8*0.85</f>
        <v>1657.5</v>
      </c>
      <c r="E8" s="167"/>
      <c r="F8" s="20">
        <f>B8-C8</f>
        <v>1260.7</v>
      </c>
      <c r="G8" s="93" t="s">
        <v>160</v>
      </c>
    </row>
    <row r="9" spans="1:7" x14ac:dyDescent="0.2">
      <c r="A9" s="11" t="s">
        <v>15</v>
      </c>
      <c r="B9" s="92">
        <v>4090</v>
      </c>
      <c r="C9" s="145">
        <v>3340</v>
      </c>
      <c r="D9" s="92">
        <v>5000</v>
      </c>
      <c r="E9" s="167"/>
      <c r="F9" s="20">
        <f>B9-C9</f>
        <v>750</v>
      </c>
      <c r="G9" s="4"/>
    </row>
    <row r="10" spans="1:7" s="94" customFormat="1" x14ac:dyDescent="0.2">
      <c r="A10" s="11" t="s">
        <v>211</v>
      </c>
      <c r="B10" s="92">
        <v>0</v>
      </c>
      <c r="C10" s="145">
        <v>1000</v>
      </c>
      <c r="D10" s="92">
        <v>1000</v>
      </c>
      <c r="E10" s="167"/>
      <c r="F10" s="20">
        <f>B10-C10</f>
        <v>-1000</v>
      </c>
      <c r="G10" s="96"/>
    </row>
    <row r="11" spans="1:7" x14ac:dyDescent="0.2">
      <c r="A11" s="3" t="s">
        <v>9</v>
      </c>
      <c r="B11" s="24">
        <f>SUM(B8:B10)</f>
        <v>6040</v>
      </c>
      <c r="C11" s="152">
        <f>SUM(C8:C10)</f>
        <v>5029.3</v>
      </c>
      <c r="D11" s="152">
        <f>SUM(D8:D10)</f>
        <v>7657.5</v>
      </c>
      <c r="E11" s="152"/>
      <c r="F11" s="24">
        <f>SUM(F8:F10)</f>
        <v>1010.7</v>
      </c>
      <c r="G11" s="3"/>
    </row>
    <row r="12" spans="1:7" x14ac:dyDescent="0.2">
      <c r="A12" s="40"/>
      <c r="B12" s="12"/>
      <c r="C12" s="21"/>
      <c r="D12" s="12"/>
      <c r="E12" s="21"/>
      <c r="F12" s="12"/>
      <c r="G12" s="40"/>
    </row>
    <row r="13" spans="1:7" ht="21" x14ac:dyDescent="0.25">
      <c r="A13" s="7" t="s">
        <v>10</v>
      </c>
      <c r="B13" s="13"/>
      <c r="C13" s="22"/>
      <c r="D13" s="13"/>
      <c r="E13" s="22"/>
      <c r="F13" s="13"/>
      <c r="G13" s="4"/>
    </row>
    <row r="14" spans="1:7" x14ac:dyDescent="0.2">
      <c r="A14" s="8" t="s">
        <v>4</v>
      </c>
      <c r="B14" s="14" t="s">
        <v>5</v>
      </c>
      <c r="C14" s="23" t="s">
        <v>6</v>
      </c>
      <c r="D14" s="14"/>
      <c r="E14" s="23"/>
      <c r="F14" s="14" t="s">
        <v>7</v>
      </c>
      <c r="G14" s="8" t="s">
        <v>8</v>
      </c>
    </row>
    <row r="15" spans="1:7" x14ac:dyDescent="0.2">
      <c r="A15" s="96" t="s">
        <v>109</v>
      </c>
      <c r="B15" s="101">
        <v>610</v>
      </c>
      <c r="C15" s="143">
        <v>580</v>
      </c>
      <c r="D15" s="103">
        <v>620</v>
      </c>
      <c r="E15" s="119">
        <v>620</v>
      </c>
      <c r="F15" s="117">
        <f>B15-C15</f>
        <v>30</v>
      </c>
      <c r="G15" s="99" t="s">
        <v>161</v>
      </c>
    </row>
    <row r="16" spans="1:7" x14ac:dyDescent="0.2">
      <c r="A16" s="95" t="s">
        <v>16</v>
      </c>
      <c r="B16" s="101">
        <v>500</v>
      </c>
      <c r="C16" s="143">
        <v>1688.61</v>
      </c>
      <c r="D16" s="103">
        <v>1500</v>
      </c>
      <c r="E16" s="119"/>
      <c r="F16" s="117">
        <f t="shared" ref="F16:F36" si="0">B16-C16</f>
        <v>-1188.6099999999999</v>
      </c>
      <c r="G16" s="115" t="s">
        <v>110</v>
      </c>
    </row>
    <row r="17" spans="1:7" s="94" customFormat="1" x14ac:dyDescent="0.2">
      <c r="A17" s="95" t="s">
        <v>17</v>
      </c>
      <c r="B17" s="101">
        <v>534</v>
      </c>
      <c r="C17" s="143">
        <v>163.74</v>
      </c>
      <c r="D17" s="103">
        <v>200</v>
      </c>
      <c r="E17" s="119">
        <v>200</v>
      </c>
      <c r="F17" s="117">
        <f t="shared" si="0"/>
        <v>370.26</v>
      </c>
      <c r="G17" s="95" t="s">
        <v>162</v>
      </c>
    </row>
    <row r="18" spans="1:7" ht="15.75" customHeight="1" x14ac:dyDescent="0.2">
      <c r="A18" s="77" t="s">
        <v>18</v>
      </c>
      <c r="B18" s="101">
        <v>1200</v>
      </c>
      <c r="C18" s="143">
        <v>1640.8</v>
      </c>
      <c r="D18" s="103">
        <v>2000</v>
      </c>
      <c r="E18" s="119"/>
      <c r="F18" s="117">
        <f t="shared" si="0"/>
        <v>-440.79999999999995</v>
      </c>
      <c r="G18" s="115" t="s">
        <v>111</v>
      </c>
    </row>
    <row r="19" spans="1:7" x14ac:dyDescent="0.2">
      <c r="A19" s="9" t="s">
        <v>112</v>
      </c>
      <c r="B19" s="101">
        <v>150</v>
      </c>
      <c r="C19" s="143">
        <v>125</v>
      </c>
      <c r="D19" s="103">
        <v>150</v>
      </c>
      <c r="E19" s="119"/>
      <c r="F19" s="117">
        <f t="shared" si="0"/>
        <v>25</v>
      </c>
      <c r="G19" s="115" t="s">
        <v>163</v>
      </c>
    </row>
    <row r="20" spans="1:7" x14ac:dyDescent="0.2">
      <c r="A20" s="95" t="s">
        <v>19</v>
      </c>
      <c r="B20" s="102">
        <v>9000</v>
      </c>
      <c r="C20" s="143">
        <v>9493.5499999999993</v>
      </c>
      <c r="D20" s="103">
        <f>C20*1.06</f>
        <v>10063.163</v>
      </c>
      <c r="E20" s="119"/>
      <c r="F20" s="117">
        <f t="shared" si="0"/>
        <v>-493.54999999999927</v>
      </c>
      <c r="G20" s="115" t="s">
        <v>113</v>
      </c>
    </row>
    <row r="21" spans="1:7" x14ac:dyDescent="0.2">
      <c r="A21" s="125" t="s">
        <v>20</v>
      </c>
      <c r="B21" s="118">
        <v>1253</v>
      </c>
      <c r="C21" s="143">
        <v>1201.0999999999999</v>
      </c>
      <c r="D21" s="119">
        <v>1250</v>
      </c>
      <c r="E21" s="119"/>
      <c r="F21" s="117">
        <f t="shared" si="0"/>
        <v>51.900000000000091</v>
      </c>
      <c r="G21" s="125" t="s">
        <v>188</v>
      </c>
    </row>
    <row r="22" spans="1:7" x14ac:dyDescent="0.2">
      <c r="A22" s="115" t="s">
        <v>21</v>
      </c>
      <c r="B22" s="101">
        <v>500</v>
      </c>
      <c r="C22" s="143">
        <v>0</v>
      </c>
      <c r="D22" s="103">
        <v>500</v>
      </c>
      <c r="E22" s="119"/>
      <c r="F22" s="117">
        <f t="shared" si="0"/>
        <v>500</v>
      </c>
      <c r="G22" s="115" t="s">
        <v>111</v>
      </c>
    </row>
    <row r="23" spans="1:7" x14ac:dyDescent="0.2">
      <c r="A23" s="115" t="s">
        <v>22</v>
      </c>
      <c r="B23" s="101">
        <v>50</v>
      </c>
      <c r="C23" s="143">
        <v>22.47</v>
      </c>
      <c r="D23" s="103">
        <v>25</v>
      </c>
      <c r="E23" s="119"/>
      <c r="F23" s="117">
        <f t="shared" si="0"/>
        <v>27.53</v>
      </c>
      <c r="G23" s="115" t="s">
        <v>111</v>
      </c>
    </row>
    <row r="24" spans="1:7" x14ac:dyDescent="0.2">
      <c r="A24" s="99" t="s">
        <v>23</v>
      </c>
      <c r="B24" s="103">
        <v>1180</v>
      </c>
      <c r="C24" s="143">
        <v>220</v>
      </c>
      <c r="D24" s="103">
        <v>750</v>
      </c>
      <c r="E24" s="119"/>
      <c r="F24" s="117">
        <f t="shared" si="0"/>
        <v>960</v>
      </c>
      <c r="G24" s="99" t="s">
        <v>5</v>
      </c>
    </row>
    <row r="25" spans="1:7" x14ac:dyDescent="0.2">
      <c r="A25" s="115" t="s">
        <v>212</v>
      </c>
      <c r="B25" s="146">
        <v>0</v>
      </c>
      <c r="C25" s="148">
        <v>1500</v>
      </c>
      <c r="D25" s="173">
        <v>1500</v>
      </c>
      <c r="E25" s="168">
        <v>1500</v>
      </c>
      <c r="F25" s="117">
        <f t="shared" si="0"/>
        <v>-1500</v>
      </c>
      <c r="G25" s="115"/>
    </row>
    <row r="26" spans="1:7" x14ac:dyDescent="0.2">
      <c r="A26" s="97" t="s">
        <v>24</v>
      </c>
      <c r="B26" s="104"/>
      <c r="C26" s="120"/>
      <c r="D26" s="169"/>
      <c r="E26" s="169"/>
      <c r="F26" s="117">
        <f t="shared" si="0"/>
        <v>0</v>
      </c>
      <c r="G26" s="97"/>
    </row>
    <row r="27" spans="1:7" x14ac:dyDescent="0.2">
      <c r="A27" s="115" t="s">
        <v>25</v>
      </c>
      <c r="B27" s="101">
        <v>175</v>
      </c>
      <c r="C27" s="143">
        <v>100</v>
      </c>
      <c r="D27" s="103">
        <v>350</v>
      </c>
      <c r="E27" s="119"/>
      <c r="F27" s="117">
        <f t="shared" si="0"/>
        <v>75</v>
      </c>
      <c r="G27" s="115" t="s">
        <v>111</v>
      </c>
    </row>
    <row r="28" spans="1:7" x14ac:dyDescent="0.2">
      <c r="A28" s="115" t="s">
        <v>26</v>
      </c>
      <c r="B28" s="101">
        <v>200</v>
      </c>
      <c r="C28" s="143">
        <v>108.38</v>
      </c>
      <c r="D28" s="103">
        <v>200</v>
      </c>
      <c r="E28" s="119"/>
      <c r="F28" s="117">
        <f t="shared" si="0"/>
        <v>91.62</v>
      </c>
      <c r="G28" s="115" t="s">
        <v>111</v>
      </c>
    </row>
    <row r="29" spans="1:7" x14ac:dyDescent="0.2">
      <c r="A29" s="11" t="s">
        <v>27</v>
      </c>
      <c r="B29" s="101">
        <v>400</v>
      </c>
      <c r="C29" s="144">
        <v>400</v>
      </c>
      <c r="D29" s="103">
        <v>400</v>
      </c>
      <c r="E29" s="170">
        <v>400</v>
      </c>
      <c r="F29" s="117">
        <f t="shared" si="0"/>
        <v>0</v>
      </c>
      <c r="G29" s="96" t="s">
        <v>114</v>
      </c>
    </row>
    <row r="30" spans="1:7" x14ac:dyDescent="0.2">
      <c r="A30" s="115" t="s">
        <v>28</v>
      </c>
      <c r="B30" s="105">
        <v>200</v>
      </c>
      <c r="C30" s="142">
        <v>200</v>
      </c>
      <c r="D30" s="181">
        <v>200</v>
      </c>
      <c r="E30" s="171">
        <v>200</v>
      </c>
      <c r="F30" s="117">
        <f t="shared" si="0"/>
        <v>0</v>
      </c>
      <c r="G30" s="115" t="s">
        <v>164</v>
      </c>
    </row>
    <row r="31" spans="1:7" x14ac:dyDescent="0.2">
      <c r="A31" s="78" t="s">
        <v>115</v>
      </c>
      <c r="B31" s="103">
        <v>450</v>
      </c>
      <c r="C31" s="142">
        <v>450</v>
      </c>
      <c r="D31" s="103">
        <v>450</v>
      </c>
      <c r="E31" s="171">
        <v>450</v>
      </c>
      <c r="F31" s="117">
        <f t="shared" si="0"/>
        <v>0</v>
      </c>
      <c r="G31" s="99" t="s">
        <v>116</v>
      </c>
    </row>
    <row r="32" spans="1:7" x14ac:dyDescent="0.2">
      <c r="A32" s="115" t="s">
        <v>210</v>
      </c>
      <c r="B32" s="105">
        <v>150</v>
      </c>
      <c r="C32" s="142">
        <v>150</v>
      </c>
      <c r="D32" s="181">
        <v>250</v>
      </c>
      <c r="E32" s="171">
        <v>250</v>
      </c>
      <c r="F32" s="117">
        <f t="shared" si="0"/>
        <v>0</v>
      </c>
      <c r="G32" s="115"/>
    </row>
    <row r="33" spans="1:7" x14ac:dyDescent="0.2">
      <c r="A33" s="97" t="s">
        <v>29</v>
      </c>
      <c r="B33" s="105"/>
      <c r="C33" s="114"/>
      <c r="D33" s="181"/>
      <c r="E33" s="171"/>
      <c r="F33" s="117">
        <f t="shared" si="0"/>
        <v>0</v>
      </c>
      <c r="G33" s="115"/>
    </row>
    <row r="34" spans="1:7" x14ac:dyDescent="0.2">
      <c r="A34" s="95" t="s">
        <v>30</v>
      </c>
      <c r="B34" s="105">
        <v>150</v>
      </c>
      <c r="C34" s="142">
        <v>1068.72</v>
      </c>
      <c r="D34" s="105">
        <v>600</v>
      </c>
      <c r="E34" s="171"/>
      <c r="F34" s="117">
        <f t="shared" si="0"/>
        <v>-918.72</v>
      </c>
      <c r="G34" s="115" t="s">
        <v>111</v>
      </c>
    </row>
    <row r="35" spans="1:7" x14ac:dyDescent="0.2">
      <c r="A35" s="97" t="s">
        <v>199</v>
      </c>
      <c r="B35" s="105">
        <v>300</v>
      </c>
      <c r="C35" s="142">
        <v>0</v>
      </c>
      <c r="D35" s="105">
        <v>300</v>
      </c>
      <c r="E35" s="171"/>
      <c r="F35" s="117">
        <f t="shared" si="0"/>
        <v>300</v>
      </c>
      <c r="G35" s="115" t="s">
        <v>165</v>
      </c>
    </row>
    <row r="36" spans="1:7" x14ac:dyDescent="0.2">
      <c r="A36" s="97" t="s">
        <v>51</v>
      </c>
      <c r="B36" s="100">
        <v>300</v>
      </c>
      <c r="C36" s="149">
        <v>0</v>
      </c>
      <c r="D36" s="100">
        <v>950</v>
      </c>
      <c r="E36" s="172"/>
      <c r="F36" s="117">
        <f t="shared" si="0"/>
        <v>300</v>
      </c>
      <c r="G36" s="115" t="s">
        <v>166</v>
      </c>
    </row>
    <row r="37" spans="1:7" s="94" customFormat="1" x14ac:dyDescent="0.2">
      <c r="A37" s="97" t="s">
        <v>229</v>
      </c>
      <c r="B37" s="100"/>
      <c r="C37" s="149"/>
      <c r="D37" s="100">
        <v>1300</v>
      </c>
      <c r="E37" s="172"/>
      <c r="F37" s="117"/>
      <c r="G37" s="115"/>
    </row>
    <row r="38" spans="1:7" s="94" customFormat="1" x14ac:dyDescent="0.2">
      <c r="A38" s="97" t="s">
        <v>230</v>
      </c>
      <c r="B38" s="100"/>
      <c r="C38" s="149"/>
      <c r="D38" s="100">
        <v>1000</v>
      </c>
      <c r="E38" s="172"/>
      <c r="F38" s="117"/>
      <c r="G38" s="115"/>
    </row>
    <row r="39" spans="1:7" s="94" customFormat="1" x14ac:dyDescent="0.2">
      <c r="A39" s="97" t="s">
        <v>228</v>
      </c>
      <c r="B39" s="100"/>
      <c r="C39" s="149"/>
      <c r="D39" s="100">
        <v>1000</v>
      </c>
      <c r="E39" s="172"/>
      <c r="F39" s="117"/>
      <c r="G39" s="115"/>
    </row>
    <row r="40" spans="1:7" x14ac:dyDescent="0.2">
      <c r="A40" s="3" t="s">
        <v>11</v>
      </c>
      <c r="B40" s="121">
        <f>SUM(B15:B36)</f>
        <v>17302</v>
      </c>
      <c r="C40" s="121">
        <f>SUM(C15:C39)</f>
        <v>19112.37</v>
      </c>
      <c r="D40" s="121">
        <f>SUM(D15:D39)</f>
        <v>25558.163</v>
      </c>
      <c r="E40" s="121"/>
      <c r="F40" s="122">
        <f>B40-C40</f>
        <v>-1810.369999999999</v>
      </c>
      <c r="G40" s="3"/>
    </row>
    <row r="41" spans="1:7" x14ac:dyDescent="0.2">
      <c r="A41" s="95"/>
      <c r="B41" s="15"/>
      <c r="C41" s="101"/>
      <c r="D41" s="15"/>
      <c r="E41" s="101"/>
      <c r="F41" s="15"/>
      <c r="G41" s="95"/>
    </row>
    <row r="42" spans="1:7" x14ac:dyDescent="0.2">
      <c r="A42" s="5" t="s">
        <v>12</v>
      </c>
      <c r="B42" s="123">
        <f>B11-B40</f>
        <v>-11262</v>
      </c>
      <c r="C42" s="124"/>
      <c r="D42" s="123">
        <f>D11-D40</f>
        <v>-17900.663</v>
      </c>
      <c r="E42" s="124"/>
      <c r="F42" s="16"/>
      <c r="G42" s="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" workbookViewId="0">
      <selection activeCell="D30" sqref="D30"/>
    </sheetView>
  </sheetViews>
  <sheetFormatPr baseColWidth="10" defaultColWidth="8.83203125" defaultRowHeight="15" x14ac:dyDescent="0.2"/>
  <cols>
    <col min="1" max="1" width="37.33203125" customWidth="1"/>
    <col min="2" max="2" width="25.1640625" customWidth="1"/>
    <col min="3" max="3" width="20" customWidth="1"/>
    <col min="4" max="4" width="25.1640625" style="94" customWidth="1"/>
    <col min="5" max="5" width="20" style="94" customWidth="1"/>
    <col min="6" max="6" width="16.5" customWidth="1"/>
    <col min="7" max="7" width="57.6640625" customWidth="1"/>
  </cols>
  <sheetData>
    <row r="1" spans="1:8" ht="26" x14ac:dyDescent="0.3">
      <c r="A1" s="56" t="s">
        <v>0</v>
      </c>
      <c r="B1" s="53"/>
      <c r="C1" s="53"/>
      <c r="D1" s="53"/>
      <c r="E1" s="53"/>
      <c r="F1" s="53"/>
      <c r="G1" s="53"/>
      <c r="H1" s="50"/>
    </row>
    <row r="2" spans="1:8" ht="26" x14ac:dyDescent="0.3">
      <c r="A2" s="57" t="s">
        <v>1</v>
      </c>
      <c r="B2" s="53"/>
      <c r="C2" s="53"/>
      <c r="D2" s="53"/>
      <c r="E2" s="53"/>
      <c r="F2" s="53"/>
      <c r="G2" s="53"/>
      <c r="H2" s="50"/>
    </row>
    <row r="3" spans="1:8" x14ac:dyDescent="0.2">
      <c r="A3" s="53" t="s">
        <v>66</v>
      </c>
      <c r="B3" s="53"/>
      <c r="C3" s="53"/>
      <c r="D3" s="53"/>
      <c r="E3" s="53"/>
      <c r="F3" s="53"/>
      <c r="G3" s="53"/>
      <c r="H3" s="50"/>
    </row>
    <row r="4" spans="1:8" x14ac:dyDescent="0.2">
      <c r="A4" s="53"/>
      <c r="B4" s="53"/>
      <c r="C4" s="53"/>
      <c r="D4" s="53"/>
      <c r="E4" s="53"/>
      <c r="F4" s="53"/>
      <c r="G4" s="53"/>
      <c r="H4" s="50"/>
    </row>
    <row r="5" spans="1:8" x14ac:dyDescent="0.2">
      <c r="A5" s="50"/>
      <c r="B5" s="50"/>
      <c r="C5" s="50"/>
      <c r="F5" s="50"/>
      <c r="G5" s="50"/>
      <c r="H5" s="50"/>
    </row>
    <row r="6" spans="1:8" ht="21" x14ac:dyDescent="0.25">
      <c r="A6" s="39" t="s">
        <v>3</v>
      </c>
      <c r="B6" s="50"/>
      <c r="C6" s="50"/>
      <c r="F6" s="50"/>
      <c r="G6" s="50"/>
      <c r="H6" s="50"/>
    </row>
    <row r="7" spans="1:8" x14ac:dyDescent="0.2">
      <c r="A7" s="38" t="s">
        <v>4</v>
      </c>
      <c r="B7" s="38" t="s">
        <v>219</v>
      </c>
      <c r="C7" s="38" t="s">
        <v>220</v>
      </c>
      <c r="D7" s="38" t="s">
        <v>226</v>
      </c>
      <c r="E7" s="38" t="s">
        <v>227</v>
      </c>
      <c r="F7" s="38" t="s">
        <v>222</v>
      </c>
      <c r="G7" s="38" t="s">
        <v>221</v>
      </c>
      <c r="H7" s="50"/>
    </row>
    <row r="8" spans="1:8" x14ac:dyDescent="0.2">
      <c r="A8" s="58"/>
      <c r="B8" s="69"/>
      <c r="C8" s="69"/>
      <c r="D8" s="69"/>
      <c r="E8" s="69"/>
      <c r="F8" s="69"/>
      <c r="G8" s="58"/>
      <c r="H8" s="50"/>
    </row>
    <row r="9" spans="1:8" x14ac:dyDescent="0.2">
      <c r="A9" s="58"/>
      <c r="B9" s="69"/>
      <c r="C9" s="69"/>
      <c r="D9" s="69"/>
      <c r="E9" s="69"/>
      <c r="F9" s="69">
        <f t="shared" ref="F9:F11" si="0">C9-B9</f>
        <v>0</v>
      </c>
      <c r="G9" s="58"/>
      <c r="H9" s="50"/>
    </row>
    <row r="10" spans="1:8" x14ac:dyDescent="0.2">
      <c r="A10" s="58"/>
      <c r="B10" s="69"/>
      <c r="C10" s="69"/>
      <c r="D10" s="69"/>
      <c r="E10" s="69"/>
      <c r="F10" s="69">
        <f t="shared" si="0"/>
        <v>0</v>
      </c>
      <c r="G10" s="58"/>
      <c r="H10" s="50"/>
    </row>
    <row r="11" spans="1:8" x14ac:dyDescent="0.2">
      <c r="A11" s="58"/>
      <c r="B11" s="69"/>
      <c r="C11" s="69"/>
      <c r="D11" s="69"/>
      <c r="E11" s="69"/>
      <c r="F11" s="69">
        <f t="shared" si="0"/>
        <v>0</v>
      </c>
      <c r="G11" s="58"/>
      <c r="H11" s="50"/>
    </row>
    <row r="12" spans="1:8" x14ac:dyDescent="0.2">
      <c r="A12" s="55" t="s">
        <v>9</v>
      </c>
      <c r="B12" s="68">
        <f>SUM(B8:B11)</f>
        <v>0</v>
      </c>
      <c r="C12" s="68">
        <f>SUM(C8:C11)</f>
        <v>0</v>
      </c>
      <c r="D12" s="68">
        <f>SUM(D8:D11)</f>
        <v>0</v>
      </c>
      <c r="E12" s="68">
        <f>SUM(E8:E11)</f>
        <v>0</v>
      </c>
      <c r="F12" s="68">
        <f>SUM(F8:F11)</f>
        <v>0</v>
      </c>
      <c r="G12" s="55"/>
      <c r="H12" s="50"/>
    </row>
    <row r="13" spans="1:8" x14ac:dyDescent="0.2">
      <c r="A13" s="67"/>
      <c r="B13" s="67"/>
      <c r="C13" s="67"/>
      <c r="D13" s="67"/>
      <c r="E13" s="67"/>
      <c r="F13" s="67"/>
      <c r="G13" s="67"/>
      <c r="H13" s="50"/>
    </row>
    <row r="14" spans="1:8" ht="21" x14ac:dyDescent="0.25">
      <c r="A14" s="52" t="s">
        <v>10</v>
      </c>
      <c r="B14" s="59"/>
      <c r="C14" s="59"/>
      <c r="D14" s="99"/>
      <c r="E14" s="99"/>
      <c r="F14" s="59"/>
      <c r="G14" s="59"/>
      <c r="H14" s="50"/>
    </row>
    <row r="15" spans="1:8" x14ac:dyDescent="0.2">
      <c r="A15" s="51" t="s">
        <v>4</v>
      </c>
      <c r="B15" s="51" t="s">
        <v>5</v>
      </c>
      <c r="C15" s="51" t="s">
        <v>6</v>
      </c>
      <c r="D15" s="51" t="s">
        <v>5</v>
      </c>
      <c r="E15" s="51" t="s">
        <v>6</v>
      </c>
      <c r="F15" s="51" t="s">
        <v>222</v>
      </c>
      <c r="G15" s="51" t="s">
        <v>8</v>
      </c>
      <c r="H15" s="50"/>
    </row>
    <row r="16" spans="1:8" x14ac:dyDescent="0.2">
      <c r="A16" s="58" t="s">
        <v>87</v>
      </c>
      <c r="B16" s="69">
        <v>845</v>
      </c>
      <c r="C16" s="154">
        <v>514.13</v>
      </c>
      <c r="D16" s="69">
        <v>800</v>
      </c>
      <c r="E16" s="182"/>
      <c r="F16" s="69">
        <f t="shared" ref="F16:F24" si="1">B16-C16</f>
        <v>330.87</v>
      </c>
      <c r="G16" s="58" t="s">
        <v>91</v>
      </c>
      <c r="H16" s="50"/>
    </row>
    <row r="17" spans="1:8" x14ac:dyDescent="0.2">
      <c r="A17" s="58" t="s">
        <v>67</v>
      </c>
      <c r="B17" s="69">
        <v>7500</v>
      </c>
      <c r="C17" s="133">
        <v>11497.5</v>
      </c>
      <c r="D17" s="159">
        <v>11000</v>
      </c>
      <c r="E17" s="159"/>
      <c r="F17" s="69">
        <f t="shared" si="1"/>
        <v>-3997.5</v>
      </c>
      <c r="G17" s="58" t="s">
        <v>167</v>
      </c>
      <c r="H17" s="50"/>
    </row>
    <row r="18" spans="1:8" x14ac:dyDescent="0.2">
      <c r="A18" s="58" t="s">
        <v>68</v>
      </c>
      <c r="B18" s="69">
        <f>16.67*8+206.96*8</f>
        <v>1789.04</v>
      </c>
      <c r="C18" s="133">
        <v>2300.9</v>
      </c>
      <c r="D18" s="178">
        <v>2300</v>
      </c>
      <c r="E18" s="159"/>
      <c r="F18" s="69">
        <f t="shared" si="1"/>
        <v>-511.86000000000013</v>
      </c>
      <c r="G18" s="58" t="s">
        <v>90</v>
      </c>
      <c r="H18" s="50"/>
    </row>
    <row r="19" spans="1:8" x14ac:dyDescent="0.2">
      <c r="A19" s="58" t="s">
        <v>69</v>
      </c>
      <c r="B19" s="69">
        <v>466</v>
      </c>
      <c r="C19" s="135">
        <v>136.99</v>
      </c>
      <c r="D19" s="159">
        <v>400</v>
      </c>
      <c r="E19" s="159"/>
      <c r="F19" s="69">
        <f t="shared" si="1"/>
        <v>329.01</v>
      </c>
      <c r="G19" s="58" t="s">
        <v>70</v>
      </c>
      <c r="H19" s="50"/>
    </row>
    <row r="20" spans="1:8" x14ac:dyDescent="0.2">
      <c r="A20" s="58" t="s">
        <v>71</v>
      </c>
      <c r="B20" s="69">
        <v>200</v>
      </c>
      <c r="C20" s="133">
        <v>130.62</v>
      </c>
      <c r="D20" s="159">
        <v>150</v>
      </c>
      <c r="E20" s="159"/>
      <c r="F20" s="69">
        <f t="shared" si="1"/>
        <v>69.38</v>
      </c>
      <c r="G20" s="58"/>
      <c r="H20" s="50"/>
    </row>
    <row r="21" spans="1:8" x14ac:dyDescent="0.2">
      <c r="A21" s="58" t="s">
        <v>72</v>
      </c>
      <c r="B21" s="69">
        <v>400</v>
      </c>
      <c r="C21" s="133">
        <v>420.76</v>
      </c>
      <c r="D21" s="159">
        <v>400</v>
      </c>
      <c r="E21" s="159"/>
      <c r="F21" s="69">
        <f t="shared" si="1"/>
        <v>-20.759999999999991</v>
      </c>
      <c r="G21" s="58"/>
      <c r="H21" s="50"/>
    </row>
    <row r="22" spans="1:8" s="94" customFormat="1" x14ac:dyDescent="0.2">
      <c r="A22" s="115" t="s">
        <v>203</v>
      </c>
      <c r="B22" s="69">
        <v>300</v>
      </c>
      <c r="C22" s="133">
        <v>0</v>
      </c>
      <c r="D22" s="178">
        <v>1200</v>
      </c>
      <c r="E22" s="159"/>
      <c r="F22" s="69">
        <f t="shared" si="1"/>
        <v>300</v>
      </c>
      <c r="G22" s="115"/>
    </row>
    <row r="23" spans="1:8" s="94" customFormat="1" x14ac:dyDescent="0.2">
      <c r="A23" s="115" t="s">
        <v>206</v>
      </c>
      <c r="B23" s="130">
        <v>2500</v>
      </c>
      <c r="C23" s="133">
        <v>3183.37</v>
      </c>
      <c r="D23" s="183">
        <v>3200</v>
      </c>
      <c r="E23" s="159"/>
      <c r="F23" s="69">
        <f t="shared" si="1"/>
        <v>-683.36999999999989</v>
      </c>
      <c r="G23" s="115"/>
    </row>
    <row r="24" spans="1:8" x14ac:dyDescent="0.2">
      <c r="A24" s="58" t="s">
        <v>73</v>
      </c>
      <c r="B24" s="69">
        <v>500</v>
      </c>
      <c r="C24" s="69">
        <v>0</v>
      </c>
      <c r="D24" s="69">
        <v>500</v>
      </c>
      <c r="E24" s="159"/>
      <c r="F24" s="69">
        <f t="shared" si="1"/>
        <v>500</v>
      </c>
      <c r="G24" s="58" t="s">
        <v>74</v>
      </c>
      <c r="H24" s="50"/>
    </row>
    <row r="25" spans="1:8" x14ac:dyDescent="0.2">
      <c r="A25" s="55" t="s">
        <v>11</v>
      </c>
      <c r="B25" s="68">
        <f>SUM(B16:B24)</f>
        <v>14500.04</v>
      </c>
      <c r="C25" s="68">
        <f>SUM(C16:C24)</f>
        <v>18184.27</v>
      </c>
      <c r="D25" s="68">
        <f>SUM(D16:D24)</f>
        <v>19950</v>
      </c>
      <c r="E25" s="68">
        <f>SUM(E16:E24)</f>
        <v>0</v>
      </c>
      <c r="F25" s="68">
        <f>SUM(F16:F21)</f>
        <v>-3800.8599999999997</v>
      </c>
      <c r="G25" s="55"/>
      <c r="H25" s="50"/>
    </row>
    <row r="26" spans="1:8" x14ac:dyDescent="0.2">
      <c r="A26" s="58"/>
      <c r="B26" s="58"/>
      <c r="C26" s="58"/>
      <c r="D26" s="115"/>
      <c r="E26" s="115"/>
      <c r="F26" s="58"/>
      <c r="G26" s="58"/>
      <c r="H26" s="50"/>
    </row>
    <row r="27" spans="1:8" ht="21" x14ac:dyDescent="0.25">
      <c r="A27" s="60" t="s">
        <v>12</v>
      </c>
      <c r="B27" s="66">
        <f>B12-B25</f>
        <v>-14500.04</v>
      </c>
      <c r="C27" s="66">
        <f>C12-C25</f>
        <v>-18184.27</v>
      </c>
      <c r="D27" s="66">
        <f>D12-D25</f>
        <v>-19950</v>
      </c>
      <c r="E27" s="66">
        <f>E12-E25</f>
        <v>0</v>
      </c>
      <c r="F27" s="54"/>
      <c r="G27" s="54"/>
      <c r="H27" s="50"/>
    </row>
    <row r="28" spans="1:8" x14ac:dyDescent="0.2">
      <c r="A28" s="50"/>
      <c r="B28" s="50"/>
      <c r="C28" s="50"/>
      <c r="F28" s="50"/>
      <c r="G28" s="50"/>
      <c r="H28" s="50"/>
    </row>
    <row r="29" spans="1:8" x14ac:dyDescent="0.2">
      <c r="A29" s="89"/>
      <c r="B29" s="72"/>
      <c r="C29" s="50"/>
      <c r="D29" s="72"/>
      <c r="F29" s="50"/>
      <c r="G29" s="50"/>
      <c r="H29" s="50"/>
    </row>
    <row r="30" spans="1:8" x14ac:dyDescent="0.2">
      <c r="H30" s="5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2" workbookViewId="0">
      <selection activeCell="D23" sqref="D23"/>
    </sheetView>
  </sheetViews>
  <sheetFormatPr baseColWidth="10" defaultColWidth="8.83203125" defaultRowHeight="15" x14ac:dyDescent="0.2"/>
  <cols>
    <col min="1" max="1" width="48.6640625" style="94" customWidth="1"/>
    <col min="2" max="2" width="21" style="94" customWidth="1"/>
    <col min="3" max="3" width="14.33203125" style="94" customWidth="1"/>
    <col min="4" max="4" width="21" style="94" customWidth="1"/>
    <col min="5" max="5" width="14.33203125" style="94" customWidth="1"/>
    <col min="6" max="6" width="25" style="94" customWidth="1"/>
    <col min="7" max="7" width="48.5" style="94" customWidth="1"/>
    <col min="8" max="16384" width="8.83203125" style="94"/>
  </cols>
  <sheetData>
    <row r="1" spans="1:7" ht="26" x14ac:dyDescent="0.3">
      <c r="A1" s="56" t="s">
        <v>0</v>
      </c>
      <c r="B1" s="53"/>
      <c r="C1" s="53"/>
      <c r="D1" s="53"/>
      <c r="E1" s="53"/>
      <c r="F1" s="53"/>
      <c r="G1" s="53"/>
    </row>
    <row r="2" spans="1:7" ht="26" x14ac:dyDescent="0.3">
      <c r="A2" s="57" t="s">
        <v>1</v>
      </c>
      <c r="B2" s="53"/>
      <c r="C2" s="53"/>
      <c r="D2" s="53"/>
      <c r="E2" s="53"/>
      <c r="F2" s="53"/>
      <c r="G2" s="53"/>
    </row>
    <row r="3" spans="1:7" x14ac:dyDescent="0.2">
      <c r="A3" s="53" t="s">
        <v>61</v>
      </c>
      <c r="B3" s="53"/>
      <c r="C3" s="53"/>
      <c r="D3" s="53"/>
      <c r="E3" s="53"/>
      <c r="F3" s="53"/>
      <c r="G3" s="53"/>
    </row>
    <row r="4" spans="1:7" x14ac:dyDescent="0.2">
      <c r="A4" s="42"/>
      <c r="B4" s="53"/>
      <c r="C4" s="53"/>
      <c r="D4" s="53"/>
      <c r="E4" s="53"/>
      <c r="F4" s="53"/>
      <c r="G4" s="53"/>
    </row>
    <row r="6" spans="1:7" ht="21" x14ac:dyDescent="0.25">
      <c r="A6" s="64" t="s">
        <v>3</v>
      </c>
    </row>
    <row r="7" spans="1:7" x14ac:dyDescent="0.2">
      <c r="A7" s="65" t="s">
        <v>4</v>
      </c>
      <c r="B7" s="65" t="s">
        <v>219</v>
      </c>
      <c r="C7" s="65" t="s">
        <v>233</v>
      </c>
      <c r="D7" s="65" t="s">
        <v>226</v>
      </c>
      <c r="E7" s="65" t="s">
        <v>227</v>
      </c>
      <c r="F7" s="65" t="s">
        <v>222</v>
      </c>
      <c r="G7" s="65" t="s">
        <v>221</v>
      </c>
    </row>
    <row r="8" spans="1:7" x14ac:dyDescent="0.2">
      <c r="A8" s="115" t="s">
        <v>52</v>
      </c>
      <c r="B8" s="61">
        <v>24725.54</v>
      </c>
      <c r="C8" s="132">
        <v>14300.96</v>
      </c>
      <c r="D8" s="162">
        <v>15000</v>
      </c>
      <c r="E8" s="161"/>
      <c r="F8" s="61"/>
      <c r="G8" s="115" t="s">
        <v>154</v>
      </c>
    </row>
    <row r="9" spans="1:7" x14ac:dyDescent="0.2">
      <c r="A9" s="115" t="s">
        <v>181</v>
      </c>
      <c r="B9" s="61">
        <v>300</v>
      </c>
      <c r="C9" s="132">
        <v>300</v>
      </c>
      <c r="D9" s="161"/>
      <c r="E9" s="161"/>
      <c r="F9" s="61"/>
      <c r="G9" s="115"/>
    </row>
    <row r="10" spans="1:7" x14ac:dyDescent="0.2">
      <c r="A10" s="115" t="s">
        <v>53</v>
      </c>
      <c r="B10" s="61">
        <v>3200</v>
      </c>
      <c r="C10" s="61">
        <v>0</v>
      </c>
      <c r="D10" s="61"/>
      <c r="E10" s="61"/>
      <c r="F10" s="61"/>
      <c r="G10" s="115"/>
    </row>
    <row r="11" spans="1:7" x14ac:dyDescent="0.2">
      <c r="A11" s="115" t="s">
        <v>201</v>
      </c>
      <c r="B11" s="61">
        <v>200</v>
      </c>
      <c r="C11" s="61">
        <v>0</v>
      </c>
      <c r="D11" s="61"/>
      <c r="E11" s="61"/>
      <c r="F11" s="61"/>
      <c r="G11" s="115"/>
    </row>
    <row r="12" spans="1:7" x14ac:dyDescent="0.2">
      <c r="A12" s="115" t="s">
        <v>54</v>
      </c>
      <c r="B12" s="61">
        <v>2500</v>
      </c>
      <c r="C12" s="61">
        <v>0</v>
      </c>
      <c r="D12" s="61">
        <v>2500</v>
      </c>
      <c r="E12" s="61"/>
      <c r="F12" s="61"/>
      <c r="G12" s="115"/>
    </row>
    <row r="13" spans="1:7" x14ac:dyDescent="0.2">
      <c r="A13" s="55" t="s">
        <v>9</v>
      </c>
      <c r="B13" s="62">
        <f>SUM(B8:B12)</f>
        <v>30925.54</v>
      </c>
      <c r="C13" s="62">
        <f>SUM(C8:C12)</f>
        <v>14600.96</v>
      </c>
      <c r="D13" s="62">
        <f>SUM(D8:D12)</f>
        <v>17500</v>
      </c>
      <c r="E13" s="62">
        <f>SUM(E8:E12)</f>
        <v>0</v>
      </c>
      <c r="F13" s="62"/>
      <c r="G13" s="80"/>
    </row>
    <row r="15" spans="1:7" ht="21" x14ac:dyDescent="0.25">
      <c r="A15" s="52" t="s">
        <v>10</v>
      </c>
      <c r="B15" s="99"/>
      <c r="C15" s="99"/>
      <c r="D15" s="99"/>
      <c r="E15" s="99"/>
      <c r="F15" s="99"/>
      <c r="G15" s="99"/>
    </row>
    <row r="16" spans="1:7" x14ac:dyDescent="0.2">
      <c r="A16" s="51" t="s">
        <v>4</v>
      </c>
      <c r="B16" s="51" t="s">
        <v>5</v>
      </c>
      <c r="C16" s="51" t="s">
        <v>6</v>
      </c>
      <c r="D16" s="51" t="s">
        <v>226</v>
      </c>
      <c r="E16" s="51" t="s">
        <v>227</v>
      </c>
      <c r="F16" s="51" t="s">
        <v>7</v>
      </c>
      <c r="G16" s="51" t="s">
        <v>8</v>
      </c>
    </row>
    <row r="17" spans="1:7" x14ac:dyDescent="0.2">
      <c r="A17" s="115" t="s">
        <v>55</v>
      </c>
      <c r="B17" s="61">
        <v>1610</v>
      </c>
      <c r="C17" s="132">
        <v>3044.05</v>
      </c>
      <c r="D17" s="162">
        <v>3000</v>
      </c>
      <c r="E17" s="161"/>
      <c r="F17" s="61">
        <f>B17-C17</f>
        <v>-1434.0500000000002</v>
      </c>
      <c r="G17" s="115" t="s">
        <v>56</v>
      </c>
    </row>
    <row r="18" spans="1:7" x14ac:dyDescent="0.2">
      <c r="A18" s="115" t="s">
        <v>57</v>
      </c>
      <c r="B18" s="61">
        <v>1600</v>
      </c>
      <c r="C18" s="132">
        <v>970.62</v>
      </c>
      <c r="D18" s="161">
        <v>1500</v>
      </c>
      <c r="E18" s="161"/>
      <c r="F18" s="61">
        <f>B18-C18</f>
        <v>629.38</v>
      </c>
      <c r="G18" s="115" t="s">
        <v>58</v>
      </c>
    </row>
    <row r="19" spans="1:7" x14ac:dyDescent="0.2">
      <c r="A19" s="115" t="s">
        <v>59</v>
      </c>
      <c r="B19" s="61">
        <v>540</v>
      </c>
      <c r="C19" s="132">
        <v>250</v>
      </c>
      <c r="D19" s="161">
        <v>500</v>
      </c>
      <c r="E19" s="161"/>
      <c r="F19" s="61">
        <f>B19-C19</f>
        <v>290</v>
      </c>
      <c r="G19" s="115" t="s">
        <v>60</v>
      </c>
    </row>
    <row r="20" spans="1:7" x14ac:dyDescent="0.2">
      <c r="A20" s="115" t="s">
        <v>251</v>
      </c>
      <c r="B20" s="61">
        <v>500</v>
      </c>
      <c r="C20" s="132">
        <v>0</v>
      </c>
      <c r="D20" s="161"/>
      <c r="E20" s="161"/>
      <c r="F20" s="61">
        <f>B20-C20</f>
        <v>500</v>
      </c>
      <c r="G20" s="115" t="s">
        <v>123</v>
      </c>
    </row>
    <row r="21" spans="1:7" x14ac:dyDescent="0.2">
      <c r="A21" s="115" t="s">
        <v>216</v>
      </c>
      <c r="B21" s="61">
        <v>0</v>
      </c>
      <c r="C21" s="132">
        <v>722.58</v>
      </c>
      <c r="D21" s="161"/>
      <c r="E21" s="161"/>
      <c r="F21" s="61">
        <f>B21-C21</f>
        <v>-722.58</v>
      </c>
      <c r="G21" s="115"/>
    </row>
    <row r="22" spans="1:7" x14ac:dyDescent="0.2">
      <c r="A22" s="115" t="s">
        <v>249</v>
      </c>
      <c r="B22" s="61"/>
      <c r="C22" s="132"/>
      <c r="D22" s="161">
        <v>500</v>
      </c>
      <c r="E22" s="161"/>
      <c r="F22" s="61"/>
      <c r="G22" s="115"/>
    </row>
    <row r="23" spans="1:7" x14ac:dyDescent="0.2">
      <c r="A23" s="115" t="s">
        <v>250</v>
      </c>
      <c r="B23" s="61"/>
      <c r="C23" s="61"/>
      <c r="D23" s="61">
        <v>500</v>
      </c>
      <c r="E23" s="61"/>
      <c r="F23" s="61"/>
      <c r="G23" s="115"/>
    </row>
    <row r="24" spans="1:7" x14ac:dyDescent="0.2">
      <c r="A24" s="115"/>
      <c r="B24" s="61"/>
      <c r="C24" s="61"/>
      <c r="D24" s="61"/>
      <c r="E24" s="61"/>
      <c r="F24" s="61"/>
      <c r="G24" s="115"/>
    </row>
    <row r="25" spans="1:7" x14ac:dyDescent="0.2">
      <c r="A25" s="55" t="s">
        <v>11</v>
      </c>
      <c r="B25" s="62">
        <f>SUM(B17:B24)</f>
        <v>4250</v>
      </c>
      <c r="C25" s="62">
        <f>SUM(C17:C24)</f>
        <v>4987.25</v>
      </c>
      <c r="D25" s="62">
        <f>SUM(D17:D24)</f>
        <v>6000</v>
      </c>
      <c r="E25" s="62">
        <f>SUM(E17:E24)</f>
        <v>0</v>
      </c>
      <c r="F25" s="110">
        <f>B25-C25</f>
        <v>-737.25</v>
      </c>
      <c r="G25" s="55"/>
    </row>
    <row r="26" spans="1:7" x14ac:dyDescent="0.2">
      <c r="A26" s="115"/>
      <c r="B26" s="115"/>
      <c r="C26" s="115"/>
      <c r="D26" s="115"/>
      <c r="E26" s="115"/>
      <c r="F26" s="115"/>
      <c r="G26" s="115"/>
    </row>
    <row r="27" spans="1:7" ht="21" x14ac:dyDescent="0.25">
      <c r="A27" s="60" t="s">
        <v>12</v>
      </c>
      <c r="B27" s="63">
        <f>B13-B25</f>
        <v>26675.54</v>
      </c>
      <c r="C27" s="63">
        <f>C13-C25</f>
        <v>9613.7099999999991</v>
      </c>
      <c r="D27" s="63">
        <f>D13-D25</f>
        <v>11500</v>
      </c>
      <c r="E27" s="63">
        <f>E13-E25</f>
        <v>0</v>
      </c>
      <c r="F27" s="155">
        <f>B27-C27</f>
        <v>17061.830000000002</v>
      </c>
      <c r="G27" s="5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" workbookViewId="0">
      <selection activeCell="F29" sqref="F29"/>
    </sheetView>
  </sheetViews>
  <sheetFormatPr baseColWidth="10" defaultColWidth="8.83203125" defaultRowHeight="15" x14ac:dyDescent="0.2"/>
  <cols>
    <col min="1" max="1" width="34.1640625" customWidth="1"/>
    <col min="2" max="2" width="17.83203125" customWidth="1"/>
    <col min="3" max="3" width="13.5" customWidth="1"/>
    <col min="4" max="4" width="17.83203125" style="94" customWidth="1"/>
    <col min="5" max="5" width="13.5" style="94" customWidth="1"/>
    <col min="6" max="6" width="18.6640625" customWidth="1"/>
    <col min="7" max="7" width="55" customWidth="1"/>
    <col min="8" max="8" width="55" style="94" customWidth="1"/>
  </cols>
  <sheetData>
    <row r="1" spans="1:8" ht="26" x14ac:dyDescent="0.3">
      <c r="A1" s="57" t="s">
        <v>1</v>
      </c>
      <c r="B1" s="2"/>
      <c r="C1" s="2"/>
      <c r="D1" s="2"/>
      <c r="E1" s="2"/>
      <c r="F1" s="2"/>
      <c r="G1" s="2"/>
      <c r="H1" s="2"/>
    </row>
    <row r="2" spans="1:8" x14ac:dyDescent="0.2">
      <c r="A2" s="2" t="s">
        <v>31</v>
      </c>
      <c r="B2" s="2"/>
      <c r="C2" s="2"/>
      <c r="D2" s="2"/>
      <c r="E2" s="2"/>
      <c r="F2" s="2"/>
      <c r="G2" s="2"/>
      <c r="H2" s="2"/>
    </row>
    <row r="3" spans="1:8" x14ac:dyDescent="0.2">
      <c r="A3" s="25"/>
      <c r="B3" s="2"/>
      <c r="C3" s="2"/>
      <c r="D3" s="2"/>
      <c r="E3" s="2"/>
      <c r="F3" s="2"/>
      <c r="G3" s="2"/>
      <c r="H3" s="2"/>
    </row>
    <row r="4" spans="1:8" x14ac:dyDescent="0.2">
      <c r="A4" s="1"/>
      <c r="B4" s="1"/>
      <c r="C4" s="1"/>
      <c r="D4" s="1"/>
      <c r="E4" s="1"/>
      <c r="F4" s="1"/>
      <c r="G4" s="1"/>
      <c r="H4" s="1"/>
    </row>
    <row r="5" spans="1:8" ht="21" x14ac:dyDescent="0.25">
      <c r="A5" s="39" t="s">
        <v>3</v>
      </c>
      <c r="B5" s="1"/>
      <c r="C5" s="1"/>
      <c r="D5" s="1"/>
      <c r="E5" s="1"/>
      <c r="F5" s="1"/>
      <c r="G5" s="1"/>
      <c r="H5" s="1"/>
    </row>
    <row r="6" spans="1:8" x14ac:dyDescent="0.2">
      <c r="A6" s="38" t="s">
        <v>4</v>
      </c>
      <c r="B6" s="38" t="s">
        <v>219</v>
      </c>
      <c r="C6" s="38" t="s">
        <v>220</v>
      </c>
      <c r="D6" s="38" t="s">
        <v>226</v>
      </c>
      <c r="E6" s="38" t="s">
        <v>227</v>
      </c>
      <c r="F6" s="38" t="s">
        <v>222</v>
      </c>
      <c r="G6" s="38" t="s">
        <v>221</v>
      </c>
      <c r="H6" s="38" t="s">
        <v>235</v>
      </c>
    </row>
    <row r="7" spans="1:8" x14ac:dyDescent="0.2">
      <c r="A7" s="11"/>
      <c r="B7" s="79"/>
      <c r="C7" s="32"/>
      <c r="D7" s="79"/>
      <c r="E7" s="32"/>
      <c r="F7" s="32"/>
      <c r="G7" s="32"/>
      <c r="H7" s="32"/>
    </row>
    <row r="8" spans="1:8" x14ac:dyDescent="0.2">
      <c r="A8" s="26" t="s">
        <v>9</v>
      </c>
      <c r="B8" s="27"/>
      <c r="C8" s="27">
        <v>0</v>
      </c>
      <c r="D8" s="27"/>
      <c r="E8" s="27">
        <v>0</v>
      </c>
      <c r="F8" s="27">
        <v>0</v>
      </c>
      <c r="G8" s="28"/>
      <c r="H8" s="28"/>
    </row>
    <row r="9" spans="1:8" x14ac:dyDescent="0.2">
      <c r="G9" s="28"/>
      <c r="H9" s="28"/>
    </row>
    <row r="10" spans="1:8" x14ac:dyDescent="0.2">
      <c r="A10" s="29"/>
      <c r="B10" s="29"/>
      <c r="C10" s="30"/>
      <c r="D10" s="29"/>
      <c r="E10" s="30"/>
      <c r="F10" s="29"/>
      <c r="G10" s="28"/>
      <c r="H10" s="28"/>
    </row>
    <row r="11" spans="1:8" ht="21" x14ac:dyDescent="0.25">
      <c r="A11" s="52" t="s">
        <v>10</v>
      </c>
      <c r="B11" s="51" t="s">
        <v>5</v>
      </c>
      <c r="C11" s="51" t="s">
        <v>6</v>
      </c>
      <c r="D11" s="51" t="s">
        <v>5</v>
      </c>
      <c r="E11" s="51" t="s">
        <v>6</v>
      </c>
      <c r="F11" s="51" t="s">
        <v>7</v>
      </c>
      <c r="G11" s="30"/>
      <c r="H11" s="30"/>
    </row>
    <row r="12" spans="1:8" x14ac:dyDescent="0.2">
      <c r="A12" s="51" t="s">
        <v>4</v>
      </c>
      <c r="B12" s="51"/>
      <c r="C12" s="51"/>
      <c r="D12" s="51"/>
      <c r="E12" s="51"/>
      <c r="F12" s="51"/>
      <c r="G12" s="40"/>
      <c r="H12" s="40"/>
    </row>
    <row r="13" spans="1:8" ht="16" x14ac:dyDescent="0.2">
      <c r="A13" s="136" t="s">
        <v>32</v>
      </c>
      <c r="B13" s="137">
        <v>2300</v>
      </c>
      <c r="C13" s="140">
        <f>1000+37.57</f>
        <v>1037.57</v>
      </c>
      <c r="D13" s="175">
        <v>1500</v>
      </c>
      <c r="E13" s="79"/>
      <c r="F13" s="139">
        <f t="shared" ref="F13:F20" si="0">B13-C13</f>
        <v>1262.43</v>
      </c>
      <c r="G13" s="11" t="s">
        <v>239</v>
      </c>
      <c r="H13" s="32"/>
    </row>
    <row r="14" spans="1:8" ht="16" x14ac:dyDescent="0.2">
      <c r="A14" s="136" t="s">
        <v>119</v>
      </c>
      <c r="B14" s="138">
        <v>10000</v>
      </c>
      <c r="C14" s="140">
        <v>4910.5</v>
      </c>
      <c r="D14" s="176">
        <v>6000</v>
      </c>
      <c r="E14" s="79"/>
      <c r="F14" s="139">
        <f t="shared" si="0"/>
        <v>5089.5</v>
      </c>
      <c r="G14" s="91" t="s">
        <v>240</v>
      </c>
      <c r="H14" s="91"/>
    </row>
    <row r="15" spans="1:8" ht="16" x14ac:dyDescent="0.2">
      <c r="A15" s="28" t="s">
        <v>168</v>
      </c>
      <c r="B15" s="106">
        <v>400</v>
      </c>
      <c r="C15" s="140">
        <v>179</v>
      </c>
      <c r="D15" s="177">
        <v>500</v>
      </c>
      <c r="E15" s="79"/>
      <c r="F15" s="139">
        <f t="shared" si="0"/>
        <v>221</v>
      </c>
      <c r="G15" s="91" t="s">
        <v>241</v>
      </c>
      <c r="H15" s="91"/>
    </row>
    <row r="16" spans="1:8" ht="16" x14ac:dyDescent="0.2">
      <c r="A16" s="28" t="s">
        <v>33</v>
      </c>
      <c r="B16" s="31">
        <v>500</v>
      </c>
      <c r="C16" s="140">
        <f>17.83+88.15</f>
        <v>105.98</v>
      </c>
      <c r="D16" s="79">
        <v>500</v>
      </c>
      <c r="E16" s="79"/>
      <c r="F16" s="139">
        <f t="shared" si="0"/>
        <v>394.02</v>
      </c>
      <c r="G16" s="91" t="s">
        <v>170</v>
      </c>
      <c r="H16" s="91"/>
    </row>
    <row r="17" spans="1:8" x14ac:dyDescent="0.2">
      <c r="A17" s="28" t="s">
        <v>34</v>
      </c>
      <c r="B17" s="31">
        <v>500</v>
      </c>
      <c r="C17" s="140">
        <v>1000</v>
      </c>
      <c r="D17" s="79">
        <v>600</v>
      </c>
      <c r="E17" s="79"/>
      <c r="F17" s="139">
        <f t="shared" si="0"/>
        <v>-500</v>
      </c>
      <c r="G17" s="33"/>
      <c r="H17" s="33"/>
    </row>
    <row r="18" spans="1:8" s="50" customFormat="1" ht="16" x14ac:dyDescent="0.2">
      <c r="A18" s="28" t="s">
        <v>35</v>
      </c>
      <c r="B18" s="31">
        <v>400</v>
      </c>
      <c r="C18" s="140">
        <v>232.04</v>
      </c>
      <c r="D18" s="79">
        <v>400</v>
      </c>
      <c r="E18" s="79">
        <v>26.19</v>
      </c>
      <c r="F18" s="139">
        <f t="shared" si="0"/>
        <v>167.96</v>
      </c>
      <c r="G18" s="91" t="s">
        <v>242</v>
      </c>
      <c r="H18" s="91"/>
    </row>
    <row r="19" spans="1:8" x14ac:dyDescent="0.2">
      <c r="A19" s="28" t="s">
        <v>36</v>
      </c>
      <c r="B19" s="31">
        <v>150</v>
      </c>
      <c r="C19" s="31">
        <v>0</v>
      </c>
      <c r="D19" s="79">
        <v>150</v>
      </c>
      <c r="E19" s="79"/>
      <c r="F19" s="139">
        <f t="shared" si="0"/>
        <v>150</v>
      </c>
      <c r="G19" s="33"/>
      <c r="H19" s="33"/>
    </row>
    <row r="20" spans="1:8" s="94" customFormat="1" ht="16" x14ac:dyDescent="0.2">
      <c r="A20" s="28" t="s">
        <v>169</v>
      </c>
      <c r="B20" s="31">
        <v>700</v>
      </c>
      <c r="C20" s="140">
        <f>63.85+69.9+8.52+15.5</f>
        <v>157.77000000000001</v>
      </c>
      <c r="D20" s="79">
        <v>600</v>
      </c>
      <c r="E20" s="79"/>
      <c r="F20" s="139">
        <f t="shared" si="0"/>
        <v>542.23</v>
      </c>
      <c r="G20" s="91" t="s">
        <v>244</v>
      </c>
      <c r="H20" s="91"/>
    </row>
    <row r="21" spans="1:8" s="94" customFormat="1" ht="16" x14ac:dyDescent="0.2">
      <c r="A21" s="28" t="s">
        <v>234</v>
      </c>
      <c r="B21" s="31"/>
      <c r="C21" s="140"/>
      <c r="D21" s="79">
        <v>700</v>
      </c>
      <c r="E21" s="79"/>
      <c r="F21" s="139"/>
      <c r="G21" s="91"/>
      <c r="H21" s="91"/>
    </row>
    <row r="22" spans="1:8" s="94" customFormat="1" ht="16" x14ac:dyDescent="0.2">
      <c r="A22" s="28" t="s">
        <v>238</v>
      </c>
      <c r="B22" s="31"/>
      <c r="C22" s="140"/>
      <c r="D22" s="79">
        <v>198</v>
      </c>
      <c r="E22" s="79">
        <v>198</v>
      </c>
      <c r="F22" s="139"/>
      <c r="G22" s="91" t="s">
        <v>243</v>
      </c>
      <c r="H22" s="91"/>
    </row>
    <row r="23" spans="1:8" x14ac:dyDescent="0.2">
      <c r="A23" s="26" t="s">
        <v>11</v>
      </c>
      <c r="B23" s="34">
        <f>SUM(B13:B22)</f>
        <v>14950</v>
      </c>
      <c r="C23" s="27">
        <f>SUM(C13:C18)</f>
        <v>7465.0899999999992</v>
      </c>
      <c r="D23" s="34">
        <f>SUM(D13:D22)</f>
        <v>11148</v>
      </c>
      <c r="E23" s="27">
        <f>SUM(E13:E18)</f>
        <v>26.19</v>
      </c>
      <c r="F23" s="34">
        <f>SUM(F13:F19)</f>
        <v>6784.9100000000008</v>
      </c>
      <c r="G23" s="28"/>
      <c r="H23" s="28"/>
    </row>
    <row r="24" spans="1:8" x14ac:dyDescent="0.2">
      <c r="A24" s="28"/>
      <c r="B24" s="28"/>
      <c r="C24" s="28"/>
      <c r="D24" s="28"/>
      <c r="E24" s="28"/>
      <c r="F24" s="28"/>
      <c r="G24" s="28"/>
      <c r="H24" s="28"/>
    </row>
    <row r="25" spans="1:8" ht="21" x14ac:dyDescent="0.25">
      <c r="A25" s="60" t="s">
        <v>12</v>
      </c>
      <c r="B25" s="35">
        <f>B8-B23</f>
        <v>-14950</v>
      </c>
      <c r="C25" s="35">
        <f>C8-C23</f>
        <v>-7465.0899999999992</v>
      </c>
      <c r="D25" s="35">
        <f>D8-D23</f>
        <v>-11148</v>
      </c>
      <c r="E25" s="35">
        <f>E8-E23</f>
        <v>-26.19</v>
      </c>
      <c r="F25" s="36"/>
      <c r="G25" s="28"/>
      <c r="H25" s="28"/>
    </row>
    <row r="26" spans="1:8" x14ac:dyDescent="0.2">
      <c r="A26" s="1"/>
      <c r="B26" s="1"/>
      <c r="C26" s="1"/>
      <c r="D26" s="1"/>
      <c r="E26" s="1"/>
      <c r="F26" s="1"/>
      <c r="G26" s="1"/>
      <c r="H26" s="1"/>
    </row>
    <row r="27" spans="1:8" x14ac:dyDescent="0.2">
      <c r="A27" s="1"/>
      <c r="B27" s="1"/>
      <c r="C27" s="1"/>
      <c r="D27" s="1"/>
      <c r="E27" s="1"/>
      <c r="F27" s="1"/>
    </row>
    <row r="28" spans="1:8" x14ac:dyDescent="0.2">
      <c r="A28" s="1"/>
      <c r="B28" s="1"/>
      <c r="C28" s="1"/>
      <c r="D28" s="1"/>
      <c r="E28" s="1"/>
      <c r="F28" s="1"/>
    </row>
    <row r="29" spans="1:8" x14ac:dyDescent="0.2">
      <c r="A29" s="1"/>
      <c r="B29" s="1"/>
      <c r="C29" s="1"/>
      <c r="D29" s="1"/>
      <c r="E29" s="1"/>
      <c r="F29" s="1"/>
    </row>
    <row r="30" spans="1:8" x14ac:dyDescent="0.2">
      <c r="A30" s="1"/>
      <c r="B30" s="1"/>
      <c r="C30" s="1"/>
      <c r="D30" s="1"/>
      <c r="E30" s="1"/>
      <c r="F30" s="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A23" workbookViewId="0">
      <selection activeCell="E25" sqref="E25"/>
    </sheetView>
  </sheetViews>
  <sheetFormatPr baseColWidth="10" defaultColWidth="8.83203125" defaultRowHeight="15" x14ac:dyDescent="0.2"/>
  <cols>
    <col min="1" max="1" width="53" customWidth="1"/>
    <col min="2" max="2" width="16.6640625" customWidth="1"/>
    <col min="3" max="3" width="14.33203125" customWidth="1"/>
    <col min="4" max="4" width="16.6640625" style="94" customWidth="1"/>
    <col min="5" max="5" width="14.33203125" style="94" customWidth="1"/>
    <col min="6" max="6" width="17.33203125" customWidth="1"/>
    <col min="7" max="7" width="69.5" customWidth="1"/>
  </cols>
  <sheetData>
    <row r="1" spans="1:7" ht="26" x14ac:dyDescent="0.3">
      <c r="A1" s="56" t="s">
        <v>0</v>
      </c>
      <c r="B1" s="53"/>
      <c r="C1" s="53"/>
      <c r="D1" s="53"/>
      <c r="E1" s="53"/>
      <c r="F1" s="53"/>
      <c r="G1" s="53"/>
    </row>
    <row r="2" spans="1:7" ht="26" x14ac:dyDescent="0.3">
      <c r="A2" s="57" t="s">
        <v>1</v>
      </c>
      <c r="B2" s="53"/>
      <c r="C2" s="53"/>
      <c r="D2" s="53"/>
      <c r="E2" s="53"/>
      <c r="F2" s="53"/>
      <c r="G2" s="53"/>
    </row>
    <row r="3" spans="1:7" x14ac:dyDescent="0.2">
      <c r="A3" s="53" t="s">
        <v>120</v>
      </c>
      <c r="B3" s="53"/>
      <c r="C3" s="53"/>
      <c r="D3" s="53"/>
      <c r="E3" s="53"/>
      <c r="F3" s="53"/>
      <c r="G3" s="53"/>
    </row>
    <row r="4" spans="1:7" x14ac:dyDescent="0.2">
      <c r="A4" s="42"/>
      <c r="B4" s="53"/>
      <c r="C4" s="53"/>
      <c r="D4" s="53"/>
      <c r="E4" s="53"/>
      <c r="F4" s="53"/>
      <c r="G4" s="53"/>
    </row>
    <row r="5" spans="1:7" x14ac:dyDescent="0.2">
      <c r="A5" s="50"/>
      <c r="B5" s="50"/>
      <c r="C5" s="50"/>
      <c r="F5" s="50"/>
      <c r="G5" s="50"/>
    </row>
    <row r="6" spans="1:7" ht="21" x14ac:dyDescent="0.25">
      <c r="A6" s="39" t="s">
        <v>3</v>
      </c>
      <c r="B6" s="50"/>
      <c r="C6" s="50"/>
      <c r="F6" s="50"/>
      <c r="G6" s="50"/>
    </row>
    <row r="7" spans="1:7" x14ac:dyDescent="0.2">
      <c r="A7" s="38" t="s">
        <v>4</v>
      </c>
      <c r="B7" s="38" t="s">
        <v>219</v>
      </c>
      <c r="C7" s="38" t="s">
        <v>220</v>
      </c>
      <c r="D7" s="38" t="s">
        <v>226</v>
      </c>
      <c r="E7" s="38" t="s">
        <v>227</v>
      </c>
      <c r="F7" s="38" t="s">
        <v>7</v>
      </c>
      <c r="G7" s="38" t="s">
        <v>8</v>
      </c>
    </row>
    <row r="8" spans="1:7" x14ac:dyDescent="0.2">
      <c r="A8" s="58" t="s">
        <v>37</v>
      </c>
      <c r="B8" s="61">
        <v>100</v>
      </c>
      <c r="C8" s="132">
        <v>1521.41</v>
      </c>
      <c r="D8" s="161">
        <v>1000</v>
      </c>
      <c r="E8" s="161"/>
      <c r="F8" s="61">
        <f>B8-C8</f>
        <v>-1421.41</v>
      </c>
      <c r="G8" s="98" t="s">
        <v>176</v>
      </c>
    </row>
    <row r="9" spans="1:7" x14ac:dyDescent="0.2">
      <c r="A9" s="58" t="s">
        <v>217</v>
      </c>
      <c r="B9" s="61">
        <v>0</v>
      </c>
      <c r="C9" s="132">
        <v>4929.1499999999996</v>
      </c>
      <c r="D9" s="161">
        <v>2500</v>
      </c>
      <c r="E9" s="161"/>
      <c r="F9" s="61">
        <f>B9-C9</f>
        <v>-4929.1499999999996</v>
      </c>
      <c r="G9" s="58"/>
    </row>
    <row r="10" spans="1:7" x14ac:dyDescent="0.2">
      <c r="A10" s="58"/>
      <c r="B10" s="61"/>
      <c r="C10" s="61"/>
      <c r="D10" s="61"/>
      <c r="E10" s="61"/>
      <c r="F10" s="61"/>
      <c r="G10" s="58"/>
    </row>
    <row r="11" spans="1:7" x14ac:dyDescent="0.2">
      <c r="A11" s="58"/>
      <c r="B11" s="61"/>
      <c r="C11" s="61"/>
      <c r="D11" s="61"/>
      <c r="E11" s="61"/>
      <c r="F11" s="61"/>
      <c r="G11" s="58"/>
    </row>
    <row r="12" spans="1:7" x14ac:dyDescent="0.2">
      <c r="A12" s="58"/>
      <c r="B12" s="61"/>
      <c r="C12" s="61"/>
      <c r="D12" s="61"/>
      <c r="E12" s="61"/>
      <c r="F12" s="61"/>
      <c r="G12" s="58"/>
    </row>
    <row r="13" spans="1:7" x14ac:dyDescent="0.2">
      <c r="A13" s="58"/>
      <c r="B13" s="61"/>
      <c r="C13" s="61"/>
      <c r="D13" s="61"/>
      <c r="E13" s="61"/>
      <c r="F13" s="61"/>
      <c r="G13" s="58"/>
    </row>
    <row r="14" spans="1:7" x14ac:dyDescent="0.2">
      <c r="A14" s="58"/>
      <c r="B14" s="61"/>
      <c r="C14" s="61"/>
      <c r="D14" s="61"/>
      <c r="E14" s="61"/>
      <c r="F14" s="61"/>
      <c r="G14" s="58"/>
    </row>
    <row r="15" spans="1:7" x14ac:dyDescent="0.2">
      <c r="A15" s="58"/>
      <c r="B15" s="61"/>
      <c r="C15" s="61"/>
      <c r="D15" s="61"/>
      <c r="E15" s="61"/>
      <c r="F15" s="61"/>
      <c r="G15" s="58"/>
    </row>
    <row r="16" spans="1:7" x14ac:dyDescent="0.2">
      <c r="A16" s="55" t="s">
        <v>9</v>
      </c>
      <c r="B16" s="62">
        <f>SUM(B8:B15)</f>
        <v>100</v>
      </c>
      <c r="C16" s="62">
        <f>SUM(C8:C15)</f>
        <v>6450.5599999999995</v>
      </c>
      <c r="D16" s="62">
        <f>SUM(D8:D15)</f>
        <v>3500</v>
      </c>
      <c r="E16" s="62">
        <f>SUM(E8:E15)</f>
        <v>0</v>
      </c>
      <c r="F16" s="62">
        <f>SUM(F8:F15)</f>
        <v>-6350.5599999999995</v>
      </c>
      <c r="G16" s="55"/>
    </row>
    <row r="17" spans="1:8" x14ac:dyDescent="0.2">
      <c r="A17" s="40"/>
      <c r="B17" s="40"/>
      <c r="C17" s="40"/>
      <c r="D17" s="40"/>
      <c r="E17" s="40"/>
      <c r="F17" s="40"/>
      <c r="G17" s="40"/>
      <c r="H17" s="37"/>
    </row>
    <row r="18" spans="1:8" ht="21" x14ac:dyDescent="0.25">
      <c r="A18" s="52" t="s">
        <v>10</v>
      </c>
      <c r="B18" s="59"/>
      <c r="C18" s="59"/>
      <c r="D18" s="99"/>
      <c r="E18" s="99"/>
      <c r="F18" s="59"/>
      <c r="G18" s="59"/>
      <c r="H18" s="37"/>
    </row>
    <row r="19" spans="1:8" x14ac:dyDescent="0.2">
      <c r="A19" s="51" t="s">
        <v>4</v>
      </c>
      <c r="B19" s="51" t="s">
        <v>5</v>
      </c>
      <c r="C19" s="51" t="s">
        <v>6</v>
      </c>
      <c r="D19" s="51" t="s">
        <v>226</v>
      </c>
      <c r="E19" s="51" t="s">
        <v>227</v>
      </c>
      <c r="F19" s="51" t="s">
        <v>7</v>
      </c>
      <c r="G19" s="51" t="s">
        <v>8</v>
      </c>
      <c r="H19" s="37"/>
    </row>
    <row r="20" spans="1:8" ht="16" x14ac:dyDescent="0.2">
      <c r="A20" s="47" t="s">
        <v>38</v>
      </c>
      <c r="B20" s="61"/>
      <c r="C20" s="61"/>
      <c r="D20" s="161"/>
      <c r="E20" s="161"/>
      <c r="F20" s="61"/>
      <c r="G20" s="58"/>
      <c r="H20" s="37"/>
    </row>
    <row r="21" spans="1:8" x14ac:dyDescent="0.2">
      <c r="A21" s="58" t="s">
        <v>39</v>
      </c>
      <c r="B21" s="61">
        <v>300</v>
      </c>
      <c r="C21" s="156">
        <v>45.02</v>
      </c>
      <c r="D21" s="161">
        <v>400</v>
      </c>
      <c r="E21" s="162"/>
      <c r="F21" s="75">
        <f t="shared" ref="F21:F34" si="0">B21-C21</f>
        <v>254.98</v>
      </c>
      <c r="G21" s="98" t="s">
        <v>177</v>
      </c>
      <c r="H21" s="37"/>
    </row>
    <row r="22" spans="1:8" x14ac:dyDescent="0.2">
      <c r="A22" s="58" t="s">
        <v>40</v>
      </c>
      <c r="B22" s="107">
        <v>10</v>
      </c>
      <c r="C22" s="132">
        <v>10</v>
      </c>
      <c r="D22" s="184">
        <v>0</v>
      </c>
      <c r="E22" s="161"/>
      <c r="F22" s="75">
        <f t="shared" si="0"/>
        <v>0</v>
      </c>
      <c r="G22" s="98" t="s">
        <v>178</v>
      </c>
      <c r="H22" s="37"/>
    </row>
    <row r="23" spans="1:8" x14ac:dyDescent="0.2">
      <c r="A23" s="58" t="s">
        <v>121</v>
      </c>
      <c r="B23" s="108">
        <v>200</v>
      </c>
      <c r="C23" s="157">
        <v>102.24</v>
      </c>
      <c r="D23" s="184">
        <v>70</v>
      </c>
      <c r="E23" s="161"/>
      <c r="F23" s="75">
        <f t="shared" si="0"/>
        <v>97.76</v>
      </c>
      <c r="G23" s="98" t="s">
        <v>179</v>
      </c>
      <c r="H23" s="37"/>
    </row>
    <row r="24" spans="1:8" x14ac:dyDescent="0.2">
      <c r="A24" s="58" t="s">
        <v>41</v>
      </c>
      <c r="B24" s="61">
        <v>1500</v>
      </c>
      <c r="C24" s="157">
        <v>6498.54</v>
      </c>
      <c r="D24" s="161">
        <v>300</v>
      </c>
      <c r="E24" s="161"/>
      <c r="F24" s="75">
        <f t="shared" si="0"/>
        <v>-4998.54</v>
      </c>
      <c r="G24" s="98" t="s">
        <v>180</v>
      </c>
      <c r="H24" s="37"/>
    </row>
    <row r="25" spans="1:8" s="94" customFormat="1" x14ac:dyDescent="0.2">
      <c r="A25" s="115" t="s">
        <v>253</v>
      </c>
      <c r="B25" s="61"/>
      <c r="C25" s="157"/>
      <c r="D25" s="161">
        <v>250</v>
      </c>
      <c r="E25" s="161"/>
      <c r="F25" s="75"/>
      <c r="G25" s="115"/>
    </row>
    <row r="26" spans="1:8" x14ac:dyDescent="0.2">
      <c r="A26" s="58" t="s">
        <v>42</v>
      </c>
      <c r="B26" s="61">
        <v>2000</v>
      </c>
      <c r="C26" s="132">
        <v>2334.5</v>
      </c>
      <c r="D26" s="161">
        <v>2500</v>
      </c>
      <c r="E26" s="161"/>
      <c r="F26" s="75">
        <f t="shared" si="0"/>
        <v>-334.5</v>
      </c>
      <c r="G26" s="98" t="s">
        <v>122</v>
      </c>
      <c r="H26" s="43"/>
    </row>
    <row r="27" spans="1:8" ht="16" x14ac:dyDescent="0.2">
      <c r="A27" s="46" t="s">
        <v>43</v>
      </c>
      <c r="B27" s="61"/>
      <c r="C27" s="61"/>
      <c r="D27" s="161"/>
      <c r="E27" s="161"/>
      <c r="F27" s="75">
        <f t="shared" si="0"/>
        <v>0</v>
      </c>
      <c r="G27" s="58"/>
      <c r="H27" s="37"/>
    </row>
    <row r="28" spans="1:8" ht="16" x14ac:dyDescent="0.2">
      <c r="A28" s="109" t="s">
        <v>171</v>
      </c>
      <c r="B28" s="61">
        <v>100</v>
      </c>
      <c r="C28" s="132">
        <v>114.98</v>
      </c>
      <c r="D28" s="161">
        <v>0</v>
      </c>
      <c r="E28" s="161"/>
      <c r="F28" s="75">
        <f t="shared" si="0"/>
        <v>-14.980000000000004</v>
      </c>
      <c r="G28" s="98" t="s">
        <v>172</v>
      </c>
      <c r="H28" s="37"/>
    </row>
    <row r="29" spans="1:8" x14ac:dyDescent="0.2">
      <c r="A29" s="98" t="s">
        <v>44</v>
      </c>
      <c r="B29" s="61">
        <v>300</v>
      </c>
      <c r="C29" s="157"/>
      <c r="D29" s="161">
        <v>200</v>
      </c>
      <c r="E29" s="161"/>
      <c r="F29" s="75">
        <f t="shared" si="0"/>
        <v>300</v>
      </c>
      <c r="G29" s="98" t="s">
        <v>173</v>
      </c>
      <c r="H29" s="41"/>
    </row>
    <row r="30" spans="1:8" x14ac:dyDescent="0.2">
      <c r="A30" s="98" t="s">
        <v>45</v>
      </c>
      <c r="B30" s="61">
        <v>1000</v>
      </c>
      <c r="C30" s="132">
        <v>897.69</v>
      </c>
      <c r="D30" s="161">
        <v>900</v>
      </c>
      <c r="E30" s="161"/>
      <c r="F30" s="75">
        <f t="shared" si="0"/>
        <v>102.30999999999995</v>
      </c>
      <c r="G30" s="98"/>
      <c r="H30" s="41"/>
    </row>
    <row r="31" spans="1:8" x14ac:dyDescent="0.2">
      <c r="A31" s="98" t="s">
        <v>46</v>
      </c>
      <c r="B31" s="61">
        <v>5000</v>
      </c>
      <c r="C31" s="132">
        <v>6098.64</v>
      </c>
      <c r="D31" s="161">
        <v>6000</v>
      </c>
      <c r="E31" s="161"/>
      <c r="F31" s="75">
        <f t="shared" si="0"/>
        <v>-1098.6400000000003</v>
      </c>
      <c r="G31" s="98" t="s">
        <v>50</v>
      </c>
      <c r="H31" s="48"/>
    </row>
    <row r="32" spans="1:8" ht="16" x14ac:dyDescent="0.2">
      <c r="A32" s="46" t="s">
        <v>47</v>
      </c>
      <c r="B32" s="61"/>
      <c r="C32" s="61"/>
      <c r="D32" s="161"/>
      <c r="E32" s="161"/>
      <c r="F32" s="75">
        <f t="shared" si="0"/>
        <v>0</v>
      </c>
      <c r="G32" s="58"/>
      <c r="H32" s="48"/>
    </row>
    <row r="33" spans="1:8" x14ac:dyDescent="0.2">
      <c r="A33" s="58" t="s">
        <v>48</v>
      </c>
      <c r="B33" s="61">
        <v>1000</v>
      </c>
      <c r="C33" s="157">
        <v>3121.87</v>
      </c>
      <c r="D33" s="161">
        <v>3000</v>
      </c>
      <c r="E33" s="161"/>
      <c r="F33" s="75">
        <f t="shared" si="0"/>
        <v>-2121.87</v>
      </c>
      <c r="G33" s="98" t="s">
        <v>174</v>
      </c>
      <c r="H33" s="48"/>
    </row>
    <row r="34" spans="1:8" x14ac:dyDescent="0.2">
      <c r="A34" s="58" t="s">
        <v>49</v>
      </c>
      <c r="B34" s="108">
        <v>350</v>
      </c>
      <c r="C34" s="157">
        <v>197.56</v>
      </c>
      <c r="D34" s="184">
        <v>300</v>
      </c>
      <c r="E34" s="161"/>
      <c r="F34" s="75">
        <f t="shared" si="0"/>
        <v>152.44</v>
      </c>
      <c r="G34" s="98" t="s">
        <v>175</v>
      </c>
      <c r="H34" s="48"/>
    </row>
    <row r="35" spans="1:8" x14ac:dyDescent="0.2">
      <c r="A35" s="58"/>
      <c r="B35" s="61"/>
      <c r="C35" s="61"/>
      <c r="D35" s="161"/>
      <c r="E35" s="161"/>
      <c r="F35" s="61"/>
      <c r="G35" s="58"/>
      <c r="H35" s="37"/>
    </row>
    <row r="36" spans="1:8" x14ac:dyDescent="0.2">
      <c r="A36" s="55" t="s">
        <v>11</v>
      </c>
      <c r="B36" s="62">
        <f>SUM(B20:B35)</f>
        <v>11760</v>
      </c>
      <c r="C36" s="62">
        <f>SUM(C20:C35)</f>
        <v>19421.04</v>
      </c>
      <c r="D36" s="62">
        <f>SUM(D20:D35)</f>
        <v>13920</v>
      </c>
      <c r="E36" s="62">
        <f>SUM(E20:E35)</f>
        <v>0</v>
      </c>
      <c r="F36" s="62">
        <f>SUM(F20:F35)</f>
        <v>-7661.04</v>
      </c>
      <c r="G36" s="55"/>
      <c r="H36" s="37"/>
    </row>
    <row r="37" spans="1:8" x14ac:dyDescent="0.2">
      <c r="A37" s="58"/>
      <c r="B37" s="58"/>
      <c r="C37" s="58"/>
      <c r="D37" s="115"/>
      <c r="E37" s="115"/>
      <c r="F37" s="58"/>
      <c r="G37" s="58"/>
      <c r="H37" s="37"/>
    </row>
    <row r="38" spans="1:8" ht="21" x14ac:dyDescent="0.25">
      <c r="A38" s="60" t="s">
        <v>12</v>
      </c>
      <c r="B38" s="63">
        <f>B16-B36</f>
        <v>-11660</v>
      </c>
      <c r="C38" s="63">
        <f>C16-C36</f>
        <v>-12970.480000000001</v>
      </c>
      <c r="D38" s="63">
        <f>D16-D36</f>
        <v>-10420</v>
      </c>
      <c r="E38" s="63">
        <f>E16-E36</f>
        <v>0</v>
      </c>
      <c r="F38" s="54"/>
      <c r="G38" s="54"/>
      <c r="H38" s="3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6" workbookViewId="0">
      <selection activeCell="D32" sqref="D32"/>
    </sheetView>
  </sheetViews>
  <sheetFormatPr baseColWidth="10" defaultColWidth="8.83203125" defaultRowHeight="15" x14ac:dyDescent="0.2"/>
  <cols>
    <col min="1" max="1" width="44.5" customWidth="1"/>
    <col min="2" max="2" width="17.1640625" customWidth="1"/>
    <col min="3" max="3" width="16.5" customWidth="1"/>
    <col min="4" max="4" width="17.1640625" style="94" customWidth="1"/>
    <col min="5" max="5" width="16.5" style="94" customWidth="1"/>
    <col min="6" max="6" width="14.1640625" customWidth="1"/>
    <col min="7" max="7" width="98.1640625" customWidth="1"/>
  </cols>
  <sheetData>
    <row r="1" spans="1:7" ht="26" x14ac:dyDescent="0.3">
      <c r="A1" s="56" t="s">
        <v>0</v>
      </c>
      <c r="B1" s="53"/>
      <c r="C1" s="53"/>
      <c r="D1" s="53"/>
      <c r="E1" s="53"/>
      <c r="F1" s="53"/>
      <c r="G1" s="53"/>
    </row>
    <row r="2" spans="1:7" ht="26" x14ac:dyDescent="0.3">
      <c r="A2" s="57" t="s">
        <v>1</v>
      </c>
      <c r="B2" s="53"/>
      <c r="C2" s="53"/>
      <c r="D2" s="53"/>
      <c r="E2" s="53"/>
      <c r="F2" s="53"/>
      <c r="G2" s="53"/>
    </row>
    <row r="3" spans="1:7" x14ac:dyDescent="0.2">
      <c r="A3" s="53" t="s">
        <v>130</v>
      </c>
      <c r="B3" s="53"/>
      <c r="C3" s="53"/>
      <c r="D3" s="53"/>
      <c r="E3" s="53"/>
      <c r="F3" s="53"/>
      <c r="G3" s="53"/>
    </row>
    <row r="4" spans="1:7" x14ac:dyDescent="0.2">
      <c r="A4" s="42"/>
      <c r="B4" s="53"/>
      <c r="C4" s="53"/>
      <c r="D4" s="53"/>
      <c r="E4" s="53"/>
      <c r="F4" s="53"/>
      <c r="G4" s="53"/>
    </row>
    <row r="5" spans="1:7" x14ac:dyDescent="0.2">
      <c r="A5" s="50"/>
      <c r="B5" s="50"/>
      <c r="C5" s="50"/>
      <c r="F5" s="50"/>
      <c r="G5" s="50"/>
    </row>
    <row r="6" spans="1:7" ht="21" x14ac:dyDescent="0.25">
      <c r="A6" s="39" t="s">
        <v>3</v>
      </c>
      <c r="B6" s="50"/>
      <c r="C6" s="50"/>
      <c r="F6" s="50"/>
      <c r="G6" s="50"/>
    </row>
    <row r="7" spans="1:7" x14ac:dyDescent="0.2">
      <c r="A7" s="38" t="s">
        <v>4</v>
      </c>
      <c r="B7" s="38" t="s">
        <v>231</v>
      </c>
      <c r="C7" s="38" t="s">
        <v>220</v>
      </c>
      <c r="D7" s="38" t="s">
        <v>232</v>
      </c>
      <c r="E7" s="38" t="s">
        <v>227</v>
      </c>
      <c r="F7" s="38" t="s">
        <v>222</v>
      </c>
      <c r="G7" s="38" t="s">
        <v>8</v>
      </c>
    </row>
    <row r="8" spans="1:7" x14ac:dyDescent="0.2">
      <c r="A8" s="58"/>
      <c r="B8" s="69"/>
      <c r="C8" s="69"/>
      <c r="D8" s="69"/>
      <c r="E8" s="69"/>
      <c r="F8" s="69">
        <f>C8-B8</f>
        <v>0</v>
      </c>
      <c r="G8" s="58"/>
    </row>
    <row r="9" spans="1:7" x14ac:dyDescent="0.2">
      <c r="A9" s="58"/>
      <c r="B9" s="69"/>
      <c r="C9" s="69"/>
      <c r="D9" s="69"/>
      <c r="E9" s="69"/>
      <c r="F9" s="69">
        <f t="shared" ref="F9:F15" si="0">C9-B9</f>
        <v>0</v>
      </c>
      <c r="G9" s="58"/>
    </row>
    <row r="10" spans="1:7" x14ac:dyDescent="0.2">
      <c r="A10" s="58"/>
      <c r="B10" s="69"/>
      <c r="C10" s="69"/>
      <c r="D10" s="69"/>
      <c r="E10" s="69"/>
      <c r="F10" s="69">
        <f t="shared" si="0"/>
        <v>0</v>
      </c>
      <c r="G10" s="58"/>
    </row>
    <row r="11" spans="1:7" x14ac:dyDescent="0.2">
      <c r="A11" s="58"/>
      <c r="B11" s="69"/>
      <c r="C11" s="69"/>
      <c r="D11" s="69"/>
      <c r="E11" s="69"/>
      <c r="F11" s="69">
        <f t="shared" si="0"/>
        <v>0</v>
      </c>
      <c r="G11" s="58"/>
    </row>
    <row r="12" spans="1:7" x14ac:dyDescent="0.2">
      <c r="A12" s="58"/>
      <c r="B12" s="69"/>
      <c r="C12" s="69"/>
      <c r="D12" s="69"/>
      <c r="E12" s="69"/>
      <c r="F12" s="69">
        <f t="shared" si="0"/>
        <v>0</v>
      </c>
      <c r="G12" s="58"/>
    </row>
    <row r="13" spans="1:7" x14ac:dyDescent="0.2">
      <c r="A13" s="58"/>
      <c r="B13" s="69"/>
      <c r="C13" s="69"/>
      <c r="D13" s="69"/>
      <c r="E13" s="69"/>
      <c r="F13" s="69">
        <f t="shared" si="0"/>
        <v>0</v>
      </c>
      <c r="G13" s="58"/>
    </row>
    <row r="14" spans="1:7" x14ac:dyDescent="0.2">
      <c r="A14" s="58"/>
      <c r="B14" s="69"/>
      <c r="C14" s="69"/>
      <c r="D14" s="69"/>
      <c r="E14" s="69"/>
      <c r="F14" s="69">
        <f t="shared" si="0"/>
        <v>0</v>
      </c>
      <c r="G14" s="58"/>
    </row>
    <row r="15" spans="1:7" x14ac:dyDescent="0.2">
      <c r="A15" s="58"/>
      <c r="B15" s="69"/>
      <c r="C15" s="69"/>
      <c r="D15" s="69"/>
      <c r="E15" s="69"/>
      <c r="F15" s="69">
        <f t="shared" si="0"/>
        <v>0</v>
      </c>
      <c r="G15" s="58"/>
    </row>
    <row r="16" spans="1:7" x14ac:dyDescent="0.2">
      <c r="A16" s="55" t="s">
        <v>9</v>
      </c>
      <c r="B16" s="68">
        <f>SUM(B8:B15)</f>
        <v>0</v>
      </c>
      <c r="C16" s="68">
        <f>SUM(C8:C15)</f>
        <v>0</v>
      </c>
      <c r="D16" s="68">
        <f>SUM(D8:D15)</f>
        <v>0</v>
      </c>
      <c r="E16" s="68">
        <f>SUM(E8:E15)</f>
        <v>0</v>
      </c>
      <c r="F16" s="68">
        <f>SUM(F8:F15)</f>
        <v>0</v>
      </c>
      <c r="G16" s="55"/>
    </row>
    <row r="17" spans="1:7" x14ac:dyDescent="0.2">
      <c r="A17" s="67"/>
      <c r="B17" s="67"/>
      <c r="C17" s="67"/>
      <c r="D17" s="67"/>
      <c r="E17" s="67"/>
      <c r="F17" s="67"/>
      <c r="G17" s="67"/>
    </row>
    <row r="18" spans="1:7" ht="21" x14ac:dyDescent="0.25">
      <c r="A18" s="52" t="s">
        <v>10</v>
      </c>
      <c r="B18" s="59"/>
      <c r="C18" s="59"/>
      <c r="D18" s="99"/>
      <c r="E18" s="99"/>
      <c r="F18" s="59"/>
      <c r="G18" s="59"/>
    </row>
    <row r="19" spans="1:7" x14ac:dyDescent="0.2">
      <c r="A19" s="51" t="s">
        <v>4</v>
      </c>
      <c r="B19" s="51" t="s">
        <v>5</v>
      </c>
      <c r="C19" s="51" t="s">
        <v>6</v>
      </c>
      <c r="D19" s="51" t="s">
        <v>226</v>
      </c>
      <c r="E19" s="51" t="s">
        <v>227</v>
      </c>
      <c r="F19" s="51" t="s">
        <v>7</v>
      </c>
      <c r="G19" s="51" t="s">
        <v>8</v>
      </c>
    </row>
    <row r="20" spans="1:7" x14ac:dyDescent="0.2">
      <c r="A20" s="111" t="s">
        <v>184</v>
      </c>
      <c r="B20" s="112">
        <v>10150</v>
      </c>
      <c r="C20" s="133">
        <v>10150</v>
      </c>
      <c r="D20" s="174">
        <v>10150</v>
      </c>
      <c r="E20" s="174">
        <v>10150</v>
      </c>
      <c r="F20" s="69">
        <f t="shared" ref="F20:F33" si="1">B20-C20</f>
        <v>0</v>
      </c>
      <c r="G20" s="113"/>
    </row>
    <row r="21" spans="1:7" x14ac:dyDescent="0.2">
      <c r="A21" s="111" t="s">
        <v>124</v>
      </c>
      <c r="B21" s="112">
        <v>1000</v>
      </c>
      <c r="C21" s="133">
        <v>1101.78</v>
      </c>
      <c r="D21" s="174">
        <v>1140.1199999999999</v>
      </c>
      <c r="E21" s="159"/>
      <c r="F21" s="69">
        <f t="shared" si="1"/>
        <v>-101.77999999999997</v>
      </c>
      <c r="G21" s="113"/>
    </row>
    <row r="22" spans="1:7" x14ac:dyDescent="0.2">
      <c r="A22" s="111" t="s">
        <v>202</v>
      </c>
      <c r="B22" s="112">
        <v>1200</v>
      </c>
      <c r="C22" s="142">
        <v>1200</v>
      </c>
      <c r="D22" s="174">
        <v>1200</v>
      </c>
      <c r="E22" s="171">
        <v>1200</v>
      </c>
      <c r="F22" s="69">
        <f t="shared" si="1"/>
        <v>0</v>
      </c>
      <c r="G22" s="113" t="s">
        <v>125</v>
      </c>
    </row>
    <row r="23" spans="1:7" x14ac:dyDescent="0.2">
      <c r="A23" s="111" t="s">
        <v>62</v>
      </c>
      <c r="B23" s="112">
        <v>900</v>
      </c>
      <c r="C23" s="133">
        <v>900</v>
      </c>
      <c r="D23" s="174">
        <v>1000</v>
      </c>
      <c r="E23" s="174">
        <v>1000</v>
      </c>
      <c r="F23" s="69">
        <f t="shared" si="1"/>
        <v>0</v>
      </c>
      <c r="G23" s="113"/>
    </row>
    <row r="24" spans="1:7" x14ac:dyDescent="0.2">
      <c r="A24" s="111" t="s">
        <v>126</v>
      </c>
      <c r="B24" s="112">
        <v>450</v>
      </c>
      <c r="C24" s="133">
        <v>450</v>
      </c>
      <c r="D24" s="174">
        <v>450</v>
      </c>
      <c r="E24" s="174">
        <v>450</v>
      </c>
      <c r="F24" s="69">
        <f t="shared" si="1"/>
        <v>0</v>
      </c>
      <c r="G24" s="113"/>
    </row>
    <row r="25" spans="1:7" x14ac:dyDescent="0.2">
      <c r="A25" s="111" t="s">
        <v>182</v>
      </c>
      <c r="B25" s="112">
        <v>800</v>
      </c>
      <c r="C25" s="133">
        <v>800</v>
      </c>
      <c r="D25" s="174">
        <v>800</v>
      </c>
      <c r="E25" s="159"/>
      <c r="F25" s="69">
        <f t="shared" si="1"/>
        <v>0</v>
      </c>
      <c r="G25" s="113" t="s">
        <v>185</v>
      </c>
    </row>
    <row r="26" spans="1:7" x14ac:dyDescent="0.2">
      <c r="A26" s="111" t="s">
        <v>63</v>
      </c>
      <c r="B26" s="112">
        <v>750</v>
      </c>
      <c r="C26" s="133">
        <v>750</v>
      </c>
      <c r="D26" s="174">
        <v>750</v>
      </c>
      <c r="E26" s="174">
        <v>750</v>
      </c>
      <c r="F26" s="69">
        <f t="shared" si="1"/>
        <v>0</v>
      </c>
      <c r="G26" s="113" t="s">
        <v>186</v>
      </c>
    </row>
    <row r="27" spans="1:7" x14ac:dyDescent="0.2">
      <c r="A27" s="111" t="s">
        <v>127</v>
      </c>
      <c r="B27" s="112">
        <v>165.6</v>
      </c>
      <c r="C27" s="158">
        <v>22.17</v>
      </c>
      <c r="D27" s="171">
        <v>25</v>
      </c>
      <c r="E27" s="159"/>
      <c r="F27" s="69">
        <f t="shared" si="1"/>
        <v>143.43</v>
      </c>
      <c r="G27" s="113"/>
    </row>
    <row r="28" spans="1:7" x14ac:dyDescent="0.2">
      <c r="A28" s="111" t="s">
        <v>183</v>
      </c>
      <c r="B28" s="112">
        <v>620.84</v>
      </c>
      <c r="C28" s="141">
        <v>620.84</v>
      </c>
      <c r="D28" s="174">
        <v>0</v>
      </c>
      <c r="E28" s="174"/>
      <c r="F28" s="69">
        <f t="shared" si="1"/>
        <v>0</v>
      </c>
      <c r="G28" s="113"/>
    </row>
    <row r="29" spans="1:7" x14ac:dyDescent="0.2">
      <c r="A29" s="111" t="s">
        <v>64</v>
      </c>
      <c r="B29" s="112">
        <v>1245</v>
      </c>
      <c r="C29" s="133">
        <v>1004.15</v>
      </c>
      <c r="D29" s="174">
        <v>1000</v>
      </c>
      <c r="E29" s="159"/>
      <c r="F29" s="69">
        <f t="shared" si="1"/>
        <v>240.85000000000002</v>
      </c>
      <c r="G29" s="113"/>
    </row>
    <row r="30" spans="1:7" x14ac:dyDescent="0.2">
      <c r="A30" s="111" t="s">
        <v>128</v>
      </c>
      <c r="B30" s="112">
        <v>500</v>
      </c>
      <c r="C30" s="158"/>
      <c r="D30" s="171">
        <v>500</v>
      </c>
      <c r="E30" s="159"/>
      <c r="F30" s="69">
        <f t="shared" si="1"/>
        <v>500</v>
      </c>
      <c r="G30" s="113"/>
    </row>
    <row r="31" spans="1:7" x14ac:dyDescent="0.2">
      <c r="A31" s="111" t="s">
        <v>129</v>
      </c>
      <c r="B31" s="112">
        <v>2000</v>
      </c>
      <c r="C31" s="158">
        <v>2965.92</v>
      </c>
      <c r="D31" s="174">
        <v>2500</v>
      </c>
      <c r="E31" s="159"/>
      <c r="F31" s="69">
        <f t="shared" si="1"/>
        <v>-965.92000000000007</v>
      </c>
      <c r="G31" s="113" t="s">
        <v>129</v>
      </c>
    </row>
    <row r="32" spans="1:7" s="94" customFormat="1" x14ac:dyDescent="0.2">
      <c r="A32" s="115" t="s">
        <v>189</v>
      </c>
      <c r="B32" s="116">
        <v>592.12</v>
      </c>
      <c r="C32" s="141">
        <v>592.12</v>
      </c>
      <c r="D32" s="171">
        <v>500</v>
      </c>
      <c r="E32" s="174"/>
      <c r="F32" s="69">
        <f t="shared" si="1"/>
        <v>0</v>
      </c>
      <c r="G32" s="115"/>
    </row>
    <row r="33" spans="1:7" x14ac:dyDescent="0.2">
      <c r="A33" s="111" t="s">
        <v>65</v>
      </c>
      <c r="B33" s="112">
        <v>1244.08</v>
      </c>
      <c r="C33" s="158"/>
      <c r="D33" s="174">
        <v>200</v>
      </c>
      <c r="E33" s="159"/>
      <c r="F33" s="69">
        <f t="shared" si="1"/>
        <v>1244.08</v>
      </c>
      <c r="G33" s="113"/>
    </row>
    <row r="34" spans="1:7" s="94" customFormat="1" x14ac:dyDescent="0.2">
      <c r="A34" s="115" t="s">
        <v>200</v>
      </c>
      <c r="B34" s="116"/>
      <c r="C34" s="158"/>
      <c r="D34" s="174">
        <v>750</v>
      </c>
      <c r="E34" s="159"/>
      <c r="F34" s="69"/>
      <c r="G34" s="115"/>
    </row>
    <row r="35" spans="1:7" x14ac:dyDescent="0.2">
      <c r="A35" s="55" t="s">
        <v>11</v>
      </c>
      <c r="B35" s="68">
        <f>SUM(B20:B33)</f>
        <v>21617.64</v>
      </c>
      <c r="C35" s="68">
        <f>SUM(C20:C33)</f>
        <v>20556.98</v>
      </c>
      <c r="D35" s="68">
        <f>SUM(D20:D34)</f>
        <v>20965.12</v>
      </c>
      <c r="E35" s="68">
        <f>SUM(E20:E33)</f>
        <v>13550</v>
      </c>
      <c r="F35" s="68">
        <f>SUM(F20:F33)</f>
        <v>1060.6599999999999</v>
      </c>
      <c r="G35" s="55"/>
    </row>
    <row r="36" spans="1:7" x14ac:dyDescent="0.2">
      <c r="A36" s="58"/>
      <c r="B36" s="58"/>
      <c r="C36" s="58"/>
      <c r="D36" s="115"/>
      <c r="E36" s="115"/>
      <c r="F36" s="58"/>
      <c r="G36" s="58"/>
    </row>
    <row r="37" spans="1:7" ht="21" x14ac:dyDescent="0.25">
      <c r="A37" s="60" t="s">
        <v>12</v>
      </c>
      <c r="B37" s="66">
        <f>B16-B35</f>
        <v>-21617.64</v>
      </c>
      <c r="C37" s="66">
        <f>C16-C35</f>
        <v>-20556.98</v>
      </c>
      <c r="D37" s="66">
        <f>D16-D35</f>
        <v>-20965.12</v>
      </c>
      <c r="E37" s="66">
        <f>E16-E35</f>
        <v>-13550</v>
      </c>
      <c r="F37" s="54"/>
      <c r="G37" s="54"/>
    </row>
    <row r="38" spans="1:7" x14ac:dyDescent="0.2">
      <c r="A38" s="70"/>
      <c r="B38" s="70"/>
      <c r="C38" s="70"/>
      <c r="D38" s="70"/>
      <c r="E38" s="70"/>
      <c r="F38" s="70"/>
      <c r="G38" s="70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6" workbookViewId="0">
      <selection activeCell="D21" sqref="D21"/>
    </sheetView>
  </sheetViews>
  <sheetFormatPr baseColWidth="10" defaultColWidth="8.83203125" defaultRowHeight="15" x14ac:dyDescent="0.2"/>
  <cols>
    <col min="1" max="1" width="35.83203125" customWidth="1"/>
    <col min="2" max="2" width="25.83203125" customWidth="1"/>
    <col min="3" max="3" width="21.6640625" customWidth="1"/>
    <col min="4" max="4" width="25.83203125" style="94" customWidth="1"/>
    <col min="5" max="5" width="21.6640625" style="94" customWidth="1"/>
    <col min="6" max="6" width="22.5" customWidth="1"/>
    <col min="7" max="7" width="69.5" customWidth="1"/>
  </cols>
  <sheetData>
    <row r="1" spans="1:8" ht="26" x14ac:dyDescent="0.3">
      <c r="A1" s="56" t="s">
        <v>0</v>
      </c>
      <c r="B1" s="53"/>
      <c r="C1" s="53"/>
      <c r="D1" s="53"/>
      <c r="E1" s="53"/>
      <c r="F1" s="53"/>
      <c r="G1" s="53"/>
      <c r="H1" s="50"/>
    </row>
    <row r="2" spans="1:8" ht="26" x14ac:dyDescent="0.3">
      <c r="A2" s="57" t="s">
        <v>1</v>
      </c>
      <c r="B2" s="53"/>
      <c r="C2" s="53"/>
      <c r="D2" s="53"/>
      <c r="E2" s="53"/>
      <c r="F2" s="53"/>
      <c r="G2" s="53"/>
      <c r="H2" s="50"/>
    </row>
    <row r="3" spans="1:8" x14ac:dyDescent="0.2">
      <c r="A3" s="53" t="s">
        <v>132</v>
      </c>
      <c r="B3" s="53"/>
      <c r="C3" s="53"/>
      <c r="D3" s="53"/>
      <c r="E3" s="53"/>
      <c r="F3" s="53"/>
      <c r="G3" s="53"/>
      <c r="H3" s="50"/>
    </row>
    <row r="4" spans="1:8" x14ac:dyDescent="0.2">
      <c r="A4" s="42"/>
      <c r="B4" s="53"/>
      <c r="C4" s="53"/>
      <c r="D4" s="53"/>
      <c r="E4" s="53"/>
      <c r="F4" s="53"/>
      <c r="G4" s="53"/>
      <c r="H4" s="50"/>
    </row>
    <row r="5" spans="1:8" x14ac:dyDescent="0.2">
      <c r="A5" s="50"/>
      <c r="B5" s="50"/>
      <c r="C5" s="50"/>
      <c r="F5" s="50"/>
      <c r="G5" s="50"/>
      <c r="H5" s="50"/>
    </row>
    <row r="6" spans="1:8" ht="21" x14ac:dyDescent="0.25">
      <c r="A6" s="39" t="s">
        <v>3</v>
      </c>
      <c r="B6" s="50"/>
      <c r="C6" s="50"/>
      <c r="F6" s="50"/>
      <c r="G6" s="50"/>
      <c r="H6" s="50"/>
    </row>
    <row r="7" spans="1:8" ht="20" customHeight="1" x14ac:dyDescent="0.2">
      <c r="A7" s="38" t="s">
        <v>4</v>
      </c>
      <c r="B7" s="38" t="s">
        <v>219</v>
      </c>
      <c r="C7" s="38" t="s">
        <v>220</v>
      </c>
      <c r="D7" s="38" t="s">
        <v>226</v>
      </c>
      <c r="E7" s="38" t="s">
        <v>227</v>
      </c>
      <c r="F7" s="38" t="s">
        <v>222</v>
      </c>
      <c r="G7" s="38" t="s">
        <v>8</v>
      </c>
      <c r="H7" s="50"/>
    </row>
    <row r="8" spans="1:8" ht="20" customHeight="1" x14ac:dyDescent="0.2">
      <c r="A8" s="115" t="s">
        <v>133</v>
      </c>
      <c r="B8" s="61">
        <v>32000</v>
      </c>
      <c r="C8" s="132">
        <v>40568.58</v>
      </c>
      <c r="D8" s="161">
        <v>32000</v>
      </c>
      <c r="E8" s="161"/>
      <c r="F8" s="61">
        <f>B8-C8</f>
        <v>-8568.5800000000017</v>
      </c>
      <c r="G8" s="58"/>
      <c r="H8" s="50"/>
    </row>
    <row r="9" spans="1:8" ht="20" customHeight="1" x14ac:dyDescent="0.2">
      <c r="A9" s="115" t="s">
        <v>187</v>
      </c>
      <c r="B9" s="61">
        <v>5000</v>
      </c>
      <c r="C9" s="157"/>
      <c r="D9" s="161">
        <v>1000</v>
      </c>
      <c r="E9" s="161"/>
      <c r="F9" s="61">
        <f>B9-C9</f>
        <v>5000</v>
      </c>
      <c r="G9" s="58"/>
      <c r="H9" s="50"/>
    </row>
    <row r="10" spans="1:8" ht="20" customHeight="1" x14ac:dyDescent="0.2">
      <c r="A10" s="58" t="s">
        <v>245</v>
      </c>
      <c r="B10" s="61"/>
      <c r="C10" s="61"/>
      <c r="D10" s="61">
        <v>57500</v>
      </c>
      <c r="E10" s="61"/>
      <c r="F10" s="61"/>
      <c r="G10" s="58"/>
      <c r="H10" s="50"/>
    </row>
    <row r="11" spans="1:8" ht="20" customHeight="1" x14ac:dyDescent="0.2">
      <c r="A11" s="58" t="s">
        <v>246</v>
      </c>
      <c r="B11" s="61"/>
      <c r="C11" s="61"/>
      <c r="D11" s="61">
        <v>13000</v>
      </c>
      <c r="E11" s="61"/>
      <c r="F11" s="61"/>
      <c r="G11" s="58"/>
      <c r="H11" s="50"/>
    </row>
    <row r="12" spans="1:8" ht="20" customHeight="1" x14ac:dyDescent="0.2">
      <c r="A12" s="58" t="s">
        <v>247</v>
      </c>
      <c r="B12" s="61"/>
      <c r="C12" s="61"/>
      <c r="D12" s="61">
        <v>32000</v>
      </c>
      <c r="E12" s="61"/>
      <c r="F12" s="61"/>
      <c r="G12" s="58"/>
      <c r="H12" s="50"/>
    </row>
    <row r="13" spans="1:8" ht="20" customHeight="1" x14ac:dyDescent="0.2">
      <c r="A13" s="58"/>
      <c r="B13" s="61"/>
      <c r="C13" s="61"/>
      <c r="D13" s="61"/>
      <c r="E13" s="61"/>
      <c r="F13" s="61"/>
      <c r="G13" s="58"/>
      <c r="H13" s="50"/>
    </row>
    <row r="14" spans="1:8" ht="20" customHeight="1" x14ac:dyDescent="0.2">
      <c r="A14" s="55" t="s">
        <v>9</v>
      </c>
      <c r="B14" s="62">
        <f>SUM(B8:B13)</f>
        <v>37000</v>
      </c>
      <c r="C14" s="62">
        <f>SUM(C8:C13)</f>
        <v>40568.58</v>
      </c>
      <c r="D14" s="62">
        <f>SUM(D8:D13)</f>
        <v>135500</v>
      </c>
      <c r="E14" s="62">
        <f>SUM(E8:E13)</f>
        <v>0</v>
      </c>
      <c r="F14" s="110">
        <f>B14-C14</f>
        <v>-3568.5800000000017</v>
      </c>
      <c r="G14" s="55"/>
      <c r="H14" s="50"/>
    </row>
    <row r="15" spans="1:8" ht="20" customHeight="1" x14ac:dyDescent="0.2">
      <c r="A15" s="40"/>
      <c r="B15" s="40"/>
      <c r="C15" s="40"/>
      <c r="D15" s="40"/>
      <c r="E15" s="40"/>
      <c r="F15" s="40"/>
      <c r="G15" s="40"/>
      <c r="H15" s="50"/>
    </row>
    <row r="16" spans="1:8" ht="20" customHeight="1" x14ac:dyDescent="0.25">
      <c r="A16" s="52" t="s">
        <v>10</v>
      </c>
      <c r="B16" s="59"/>
      <c r="C16" s="59"/>
      <c r="D16" s="99"/>
      <c r="E16" s="99"/>
      <c r="F16" s="59"/>
      <c r="G16" s="59"/>
      <c r="H16" s="50"/>
    </row>
    <row r="17" spans="1:8" ht="20" customHeight="1" x14ac:dyDescent="0.2">
      <c r="A17" s="51" t="s">
        <v>4</v>
      </c>
      <c r="B17" s="51" t="s">
        <v>5</v>
      </c>
      <c r="C17" s="51" t="s">
        <v>6</v>
      </c>
      <c r="D17" s="51" t="s">
        <v>226</v>
      </c>
      <c r="E17" s="51" t="s">
        <v>227</v>
      </c>
      <c r="F17" s="51" t="s">
        <v>7</v>
      </c>
      <c r="G17" s="51" t="s">
        <v>8</v>
      </c>
      <c r="H17" s="50"/>
    </row>
    <row r="18" spans="1:8" ht="20" customHeight="1" x14ac:dyDescent="0.2">
      <c r="A18" s="81" t="s">
        <v>134</v>
      </c>
      <c r="B18" s="61">
        <v>32000</v>
      </c>
      <c r="C18" s="110">
        <v>40301.050000000003</v>
      </c>
      <c r="D18" s="161">
        <v>33000</v>
      </c>
      <c r="E18" s="161"/>
      <c r="F18" s="61">
        <f>B18-C18</f>
        <v>-8301.0500000000029</v>
      </c>
      <c r="G18" s="58" t="s">
        <v>207</v>
      </c>
      <c r="H18" s="50"/>
    </row>
    <row r="19" spans="1:8" ht="20" customHeight="1" x14ac:dyDescent="0.2">
      <c r="A19" s="58" t="s">
        <v>135</v>
      </c>
      <c r="B19" s="61">
        <v>3000</v>
      </c>
      <c r="C19" s="157"/>
      <c r="D19" s="161">
        <v>3000</v>
      </c>
      <c r="E19" s="161"/>
      <c r="F19" s="61">
        <f>B19-C19</f>
        <v>3000</v>
      </c>
      <c r="G19" s="58"/>
      <c r="H19" s="50"/>
    </row>
    <row r="20" spans="1:8" ht="20" customHeight="1" x14ac:dyDescent="0.2">
      <c r="A20" s="58" t="s">
        <v>246</v>
      </c>
      <c r="B20" s="61">
        <v>5000</v>
      </c>
      <c r="C20" s="157"/>
      <c r="D20" s="61">
        <v>13000</v>
      </c>
      <c r="E20" s="161"/>
      <c r="F20" s="61">
        <f>B20-C20</f>
        <v>5000</v>
      </c>
      <c r="G20" s="58"/>
      <c r="H20" s="50"/>
    </row>
    <row r="21" spans="1:8" ht="20" customHeight="1" x14ac:dyDescent="0.2">
      <c r="A21" s="58" t="s">
        <v>245</v>
      </c>
      <c r="B21" s="61"/>
      <c r="C21" s="61"/>
      <c r="D21" s="61">
        <v>70000</v>
      </c>
      <c r="E21" s="61"/>
      <c r="F21" s="61"/>
      <c r="G21" s="58"/>
      <c r="H21" s="50"/>
    </row>
    <row r="22" spans="1:8" ht="20" customHeight="1" x14ac:dyDescent="0.2">
      <c r="A22" s="58" t="s">
        <v>247</v>
      </c>
      <c r="B22" s="61"/>
      <c r="C22" s="61"/>
      <c r="D22" s="61">
        <v>36000</v>
      </c>
      <c r="E22" s="61"/>
      <c r="F22" s="61"/>
      <c r="G22" s="58"/>
      <c r="H22" s="50"/>
    </row>
    <row r="23" spans="1:8" ht="20" customHeight="1" x14ac:dyDescent="0.2">
      <c r="A23" s="58" t="s">
        <v>248</v>
      </c>
      <c r="B23" s="61"/>
      <c r="C23" s="61"/>
      <c r="D23" s="61">
        <v>1000</v>
      </c>
      <c r="E23" s="61"/>
      <c r="F23" s="61"/>
      <c r="G23" s="58"/>
      <c r="H23" s="50"/>
    </row>
    <row r="24" spans="1:8" ht="20" customHeight="1" x14ac:dyDescent="0.2">
      <c r="A24" s="44"/>
      <c r="B24" s="45"/>
      <c r="C24" s="45"/>
      <c r="D24" s="45"/>
      <c r="E24" s="45"/>
      <c r="F24" s="61"/>
      <c r="G24" s="49"/>
      <c r="H24" s="50"/>
    </row>
    <row r="25" spans="1:8" ht="20" customHeight="1" x14ac:dyDescent="0.2">
      <c r="A25" s="46"/>
      <c r="B25" s="61"/>
      <c r="C25" s="61"/>
      <c r="D25" s="61"/>
      <c r="E25" s="61"/>
      <c r="F25" s="61"/>
      <c r="G25" s="58"/>
      <c r="H25" s="50"/>
    </row>
    <row r="26" spans="1:8" ht="20" customHeight="1" x14ac:dyDescent="0.2">
      <c r="A26" s="58"/>
      <c r="B26" s="61"/>
      <c r="C26" s="61"/>
      <c r="D26" s="61"/>
      <c r="E26" s="61"/>
      <c r="F26" s="61"/>
      <c r="G26" s="58"/>
      <c r="H26" s="50"/>
    </row>
    <row r="27" spans="1:8" ht="20" customHeight="1" x14ac:dyDescent="0.2">
      <c r="A27" s="58"/>
      <c r="B27" s="61"/>
      <c r="C27" s="61"/>
      <c r="D27" s="61"/>
      <c r="E27" s="61"/>
      <c r="F27" s="61"/>
      <c r="G27" s="58"/>
      <c r="H27" s="50"/>
    </row>
    <row r="28" spans="1:8" ht="20" customHeight="1" x14ac:dyDescent="0.2">
      <c r="A28" s="58"/>
      <c r="B28" s="61"/>
      <c r="C28" s="61"/>
      <c r="D28" s="61"/>
      <c r="E28" s="61"/>
      <c r="F28" s="61"/>
      <c r="G28" s="58"/>
      <c r="H28" s="50"/>
    </row>
    <row r="29" spans="1:8" ht="20" customHeight="1" x14ac:dyDescent="0.2">
      <c r="A29" s="58"/>
      <c r="B29" s="61"/>
      <c r="C29" s="61"/>
      <c r="D29" s="61"/>
      <c r="E29" s="61"/>
      <c r="F29" s="61"/>
      <c r="G29" s="58"/>
      <c r="H29" s="50"/>
    </row>
    <row r="30" spans="1:8" ht="20" customHeight="1" x14ac:dyDescent="0.2">
      <c r="A30" s="46"/>
      <c r="B30" s="61"/>
      <c r="C30" s="61"/>
      <c r="D30" s="61"/>
      <c r="E30" s="61"/>
      <c r="F30" s="61"/>
      <c r="G30" s="58"/>
      <c r="H30" s="50"/>
    </row>
    <row r="31" spans="1:8" ht="20" customHeight="1" x14ac:dyDescent="0.2">
      <c r="A31" s="58"/>
      <c r="B31" s="61"/>
      <c r="C31" s="61"/>
      <c r="D31" s="61"/>
      <c r="E31" s="61"/>
      <c r="F31" s="61"/>
      <c r="G31" s="58"/>
      <c r="H31" s="50"/>
    </row>
    <row r="32" spans="1:8" ht="20" customHeight="1" x14ac:dyDescent="0.2">
      <c r="A32" s="58"/>
      <c r="B32" s="61"/>
      <c r="C32" s="61"/>
      <c r="D32" s="61"/>
      <c r="E32" s="61"/>
      <c r="F32" s="61"/>
      <c r="G32" s="58"/>
    </row>
    <row r="33" spans="1:7" ht="20" customHeight="1" x14ac:dyDescent="0.2">
      <c r="A33" s="58"/>
      <c r="B33" s="61"/>
      <c r="C33" s="61"/>
      <c r="D33" s="61"/>
      <c r="E33" s="61"/>
      <c r="F33" s="61"/>
      <c r="G33" s="58"/>
    </row>
    <row r="34" spans="1:7" ht="20" customHeight="1" x14ac:dyDescent="0.2">
      <c r="A34" s="55" t="s">
        <v>11</v>
      </c>
      <c r="B34" s="62">
        <f>SUM(B18:B33)</f>
        <v>40000</v>
      </c>
      <c r="C34" s="62">
        <f>SUM(C18:C33)</f>
        <v>40301.050000000003</v>
      </c>
      <c r="D34" s="62">
        <f>SUM(D18:D33)</f>
        <v>156000</v>
      </c>
      <c r="E34" s="62">
        <f>SUM(E18:E33)</f>
        <v>0</v>
      </c>
      <c r="F34" s="62">
        <f>SUM(F18:F33)</f>
        <v>-301.05000000000291</v>
      </c>
      <c r="G34" s="55"/>
    </row>
    <row r="35" spans="1:7" ht="20" customHeight="1" x14ac:dyDescent="0.2">
      <c r="A35" s="58"/>
      <c r="B35" s="58"/>
      <c r="C35" s="58"/>
      <c r="D35" s="115"/>
      <c r="E35" s="115"/>
      <c r="F35" s="58"/>
      <c r="G35" s="58"/>
    </row>
    <row r="36" spans="1:7" ht="20" customHeight="1" x14ac:dyDescent="0.25">
      <c r="A36" s="60" t="s">
        <v>12</v>
      </c>
      <c r="B36" s="63">
        <f>B14-B34</f>
        <v>-3000</v>
      </c>
      <c r="C36" s="63">
        <f>C14-C34</f>
        <v>267.52999999999884</v>
      </c>
      <c r="D36" s="63">
        <f>D14-D34</f>
        <v>-20500</v>
      </c>
      <c r="E36" s="63">
        <f>E14-E34</f>
        <v>0</v>
      </c>
      <c r="F36" s="54"/>
      <c r="G36" s="54"/>
    </row>
    <row r="37" spans="1:7" ht="20" customHeight="1" x14ac:dyDescent="0.2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3" workbookViewId="0">
      <selection activeCell="D23" sqref="D23"/>
    </sheetView>
  </sheetViews>
  <sheetFormatPr baseColWidth="10" defaultColWidth="8.83203125" defaultRowHeight="15" x14ac:dyDescent="0.2"/>
  <cols>
    <col min="1" max="1" width="49.6640625" customWidth="1"/>
    <col min="2" max="2" width="15.83203125" customWidth="1"/>
    <col min="3" max="3" width="16.1640625" customWidth="1"/>
    <col min="4" max="4" width="15.83203125" style="94" customWidth="1"/>
    <col min="5" max="5" width="16.1640625" style="94" customWidth="1"/>
    <col min="6" max="6" width="22.33203125" customWidth="1"/>
    <col min="7" max="7" width="43.1640625" customWidth="1"/>
  </cols>
  <sheetData>
    <row r="1" spans="1:9" ht="26" x14ac:dyDescent="0.3">
      <c r="A1" s="56" t="s">
        <v>0</v>
      </c>
      <c r="B1" s="53"/>
      <c r="C1" s="53"/>
      <c r="D1" s="53"/>
      <c r="E1" s="53"/>
      <c r="F1" s="53"/>
      <c r="G1" s="53"/>
      <c r="H1" s="50"/>
      <c r="I1" s="50"/>
    </row>
    <row r="2" spans="1:9" ht="26" x14ac:dyDescent="0.3">
      <c r="A2" s="57" t="s">
        <v>1</v>
      </c>
      <c r="B2" s="53"/>
      <c r="C2" s="53"/>
      <c r="D2" s="53"/>
      <c r="E2" s="53"/>
      <c r="F2" s="53"/>
      <c r="G2" s="53"/>
      <c r="H2" s="50"/>
      <c r="I2" s="50"/>
    </row>
    <row r="3" spans="1:9" x14ac:dyDescent="0.2">
      <c r="A3" s="53" t="s">
        <v>2</v>
      </c>
      <c r="B3" s="53"/>
      <c r="C3" s="53"/>
      <c r="D3" s="53"/>
      <c r="E3" s="53"/>
      <c r="F3" s="53"/>
      <c r="G3" s="53"/>
      <c r="H3" s="50"/>
      <c r="I3" s="50"/>
    </row>
    <row r="4" spans="1:9" x14ac:dyDescent="0.2">
      <c r="A4" s="42"/>
      <c r="B4" s="53"/>
      <c r="C4" s="53"/>
      <c r="D4" s="53"/>
      <c r="E4" s="53"/>
      <c r="F4" s="53"/>
      <c r="G4" s="53"/>
      <c r="H4" s="50"/>
      <c r="I4" s="50"/>
    </row>
    <row r="5" spans="1:9" x14ac:dyDescent="0.2">
      <c r="A5" s="50"/>
      <c r="B5" s="50"/>
      <c r="C5" s="50"/>
      <c r="F5" s="50"/>
      <c r="G5" s="50"/>
      <c r="H5" s="50"/>
      <c r="I5" s="50"/>
    </row>
    <row r="6" spans="1:9" ht="21" x14ac:dyDescent="0.25">
      <c r="A6" s="39" t="s">
        <v>3</v>
      </c>
      <c r="B6" s="50"/>
      <c r="C6" s="50"/>
      <c r="F6" s="50"/>
      <c r="G6" s="50"/>
      <c r="H6" s="50"/>
      <c r="I6" s="50"/>
    </row>
    <row r="7" spans="1:9" x14ac:dyDescent="0.2">
      <c r="A7" s="38" t="s">
        <v>4</v>
      </c>
      <c r="B7" s="38" t="s">
        <v>5</v>
      </c>
      <c r="C7" s="38" t="s">
        <v>6</v>
      </c>
      <c r="D7" s="38" t="s">
        <v>5</v>
      </c>
      <c r="E7" s="38" t="s">
        <v>6</v>
      </c>
      <c r="F7" s="38" t="s">
        <v>7</v>
      </c>
      <c r="G7" s="38" t="s">
        <v>8</v>
      </c>
      <c r="H7" s="50"/>
      <c r="I7" s="50"/>
    </row>
    <row r="8" spans="1:9" x14ac:dyDescent="0.2">
      <c r="A8" s="58"/>
      <c r="B8" s="69"/>
      <c r="C8" s="69"/>
      <c r="D8" s="69"/>
      <c r="E8" s="69"/>
      <c r="F8" s="69"/>
      <c r="G8" s="58"/>
      <c r="H8" s="50"/>
      <c r="I8" s="50"/>
    </row>
    <row r="9" spans="1:9" x14ac:dyDescent="0.2">
      <c r="A9" s="58"/>
      <c r="B9" s="69"/>
      <c r="C9" s="69"/>
      <c r="D9" s="69"/>
      <c r="E9" s="69"/>
      <c r="F9" s="69"/>
      <c r="G9" s="58"/>
      <c r="H9" s="50"/>
      <c r="I9" s="50"/>
    </row>
    <row r="10" spans="1:9" x14ac:dyDescent="0.2">
      <c r="A10" s="58"/>
      <c r="B10" s="69"/>
      <c r="C10" s="69"/>
      <c r="D10" s="69"/>
      <c r="E10" s="69"/>
      <c r="F10" s="69"/>
      <c r="G10" s="58"/>
      <c r="H10" s="50"/>
      <c r="I10" s="50"/>
    </row>
    <row r="11" spans="1:9" x14ac:dyDescent="0.2">
      <c r="A11" s="58"/>
      <c r="B11" s="69"/>
      <c r="C11" s="69"/>
      <c r="D11" s="69"/>
      <c r="E11" s="69"/>
      <c r="F11" s="69"/>
      <c r="G11" s="58"/>
      <c r="H11" s="50"/>
      <c r="I11" s="50"/>
    </row>
    <row r="12" spans="1:9" x14ac:dyDescent="0.2">
      <c r="A12" s="58"/>
      <c r="B12" s="69"/>
      <c r="C12" s="69"/>
      <c r="D12" s="69"/>
      <c r="E12" s="69"/>
      <c r="F12" s="69"/>
      <c r="G12" s="58"/>
      <c r="H12" s="50"/>
      <c r="I12" s="50"/>
    </row>
    <row r="13" spans="1:9" x14ac:dyDescent="0.2">
      <c r="A13" s="58"/>
      <c r="B13" s="69"/>
      <c r="C13" s="69"/>
      <c r="D13" s="69"/>
      <c r="E13" s="69"/>
      <c r="F13" s="69"/>
      <c r="G13" s="58"/>
      <c r="H13" s="50"/>
      <c r="I13" s="50"/>
    </row>
    <row r="14" spans="1:9" x14ac:dyDescent="0.2">
      <c r="A14" s="58"/>
      <c r="B14" s="69"/>
      <c r="C14" s="69"/>
      <c r="D14" s="69"/>
      <c r="E14" s="69"/>
      <c r="F14" s="69"/>
      <c r="G14" s="58"/>
      <c r="H14" s="50"/>
      <c r="I14" s="50"/>
    </row>
    <row r="15" spans="1:9" x14ac:dyDescent="0.2">
      <c r="A15" s="58"/>
      <c r="B15" s="69"/>
      <c r="C15" s="69"/>
      <c r="D15" s="69"/>
      <c r="E15" s="69"/>
      <c r="F15" s="69"/>
      <c r="G15" s="58"/>
      <c r="H15" s="50"/>
      <c r="I15" s="50"/>
    </row>
    <row r="16" spans="1:9" x14ac:dyDescent="0.2">
      <c r="A16" s="55" t="s">
        <v>9</v>
      </c>
      <c r="B16" s="68"/>
      <c r="C16" s="68"/>
      <c r="D16" s="68"/>
      <c r="E16" s="68"/>
      <c r="F16" s="68"/>
      <c r="G16" s="55"/>
      <c r="H16" s="50"/>
      <c r="I16" s="50"/>
    </row>
    <row r="17" spans="1:9" x14ac:dyDescent="0.2">
      <c r="A17" s="67"/>
      <c r="B17" s="67"/>
      <c r="C17" s="67"/>
      <c r="D17" s="67"/>
      <c r="E17" s="67"/>
      <c r="F17" s="67"/>
      <c r="G17" s="67"/>
      <c r="H17" s="50"/>
      <c r="I17" s="50"/>
    </row>
    <row r="18" spans="1:9" ht="21" x14ac:dyDescent="0.25">
      <c r="A18" s="52" t="s">
        <v>10</v>
      </c>
      <c r="B18" s="59"/>
      <c r="C18" s="59"/>
      <c r="D18" s="99"/>
      <c r="E18" s="99"/>
      <c r="F18" s="59"/>
      <c r="G18" s="59"/>
      <c r="H18" s="50"/>
      <c r="I18" s="50"/>
    </row>
    <row r="19" spans="1:9" x14ac:dyDescent="0.2">
      <c r="A19" s="51" t="s">
        <v>4</v>
      </c>
      <c r="B19" s="51" t="s">
        <v>219</v>
      </c>
      <c r="C19" s="51" t="s">
        <v>220</v>
      </c>
      <c r="D19" s="51" t="s">
        <v>226</v>
      </c>
      <c r="E19" s="51" t="s">
        <v>227</v>
      </c>
      <c r="F19" s="51" t="s">
        <v>222</v>
      </c>
      <c r="G19" s="51" t="s">
        <v>8</v>
      </c>
      <c r="H19" s="50"/>
      <c r="I19" s="50"/>
    </row>
    <row r="20" spans="1:9" x14ac:dyDescent="0.2">
      <c r="A20" s="58" t="s">
        <v>193</v>
      </c>
      <c r="B20" s="69">
        <f>650*3 + 163</f>
        <v>2113</v>
      </c>
      <c r="C20" s="133">
        <v>1715.01</v>
      </c>
      <c r="D20" s="159">
        <v>300</v>
      </c>
      <c r="E20" s="159"/>
      <c r="F20" s="69">
        <f>B20-C20</f>
        <v>397.99</v>
      </c>
      <c r="G20" s="58" t="s">
        <v>194</v>
      </c>
      <c r="H20" s="50"/>
      <c r="I20" s="50"/>
    </row>
    <row r="21" spans="1:9" x14ac:dyDescent="0.2">
      <c r="A21" s="58" t="s">
        <v>104</v>
      </c>
      <c r="B21" s="69">
        <v>1000</v>
      </c>
      <c r="C21" s="133">
        <v>5755.68</v>
      </c>
      <c r="D21" s="159">
        <v>3000</v>
      </c>
      <c r="E21" s="159"/>
      <c r="F21" s="69">
        <f>B21-C21</f>
        <v>-4755.68</v>
      </c>
      <c r="G21" s="58" t="s">
        <v>105</v>
      </c>
      <c r="H21" s="50"/>
      <c r="I21" s="50"/>
    </row>
    <row r="22" spans="1:9" x14ac:dyDescent="0.2">
      <c r="A22" s="58" t="s">
        <v>117</v>
      </c>
      <c r="B22" s="69">
        <v>1507.53</v>
      </c>
      <c r="C22" s="133">
        <f>763.56+550.68</f>
        <v>1314.2399999999998</v>
      </c>
      <c r="D22" s="159">
        <v>1500</v>
      </c>
      <c r="E22" s="159"/>
      <c r="F22" s="69">
        <f>B22-C22</f>
        <v>193.29000000000019</v>
      </c>
      <c r="G22" s="58" t="s">
        <v>106</v>
      </c>
      <c r="H22" s="50"/>
      <c r="I22" s="50"/>
    </row>
    <row r="23" spans="1:9" x14ac:dyDescent="0.2">
      <c r="A23" s="58" t="s">
        <v>118</v>
      </c>
      <c r="B23" s="69">
        <f>300</f>
        <v>300</v>
      </c>
      <c r="C23" s="133">
        <v>1002.8</v>
      </c>
      <c r="D23" s="159">
        <v>2000</v>
      </c>
      <c r="E23" s="159"/>
      <c r="F23" s="69">
        <f>B23-C23</f>
        <v>-702.8</v>
      </c>
      <c r="G23" s="58" t="s">
        <v>108</v>
      </c>
      <c r="H23" s="50"/>
      <c r="I23" s="50"/>
    </row>
    <row r="24" spans="1:9" x14ac:dyDescent="0.2">
      <c r="A24" s="58"/>
      <c r="B24" s="69"/>
      <c r="C24" s="69"/>
      <c r="D24" s="69"/>
      <c r="E24" s="69"/>
      <c r="F24" s="69"/>
      <c r="G24" s="58"/>
      <c r="H24" s="50"/>
      <c r="I24" s="50"/>
    </row>
    <row r="25" spans="1:9" x14ac:dyDescent="0.2">
      <c r="A25" s="55" t="s">
        <v>11</v>
      </c>
      <c r="B25" s="68">
        <f>SUM(B20:B24)</f>
        <v>4920.53</v>
      </c>
      <c r="C25" s="68">
        <f>SUM(C20:C24)</f>
        <v>9787.73</v>
      </c>
      <c r="D25" s="68">
        <f>SUM(D20:D24)</f>
        <v>6800</v>
      </c>
      <c r="E25" s="68">
        <f>SUM(E20:E24)</f>
        <v>0</v>
      </c>
      <c r="F25" s="68">
        <f>B25-C25</f>
        <v>-4867.2</v>
      </c>
      <c r="G25" s="55"/>
      <c r="H25" s="50"/>
      <c r="I25" s="50"/>
    </row>
    <row r="26" spans="1:9" x14ac:dyDescent="0.2">
      <c r="A26" s="58"/>
      <c r="B26" s="58"/>
      <c r="C26" s="58"/>
      <c r="D26" s="115"/>
      <c r="E26" s="115"/>
      <c r="F26" s="58"/>
      <c r="G26" s="58"/>
      <c r="H26" s="50"/>
      <c r="I26" s="50"/>
    </row>
    <row r="27" spans="1:9" ht="21" x14ac:dyDescent="0.25">
      <c r="A27" s="60" t="s">
        <v>12</v>
      </c>
      <c r="B27" s="66">
        <f>B16-B25</f>
        <v>-4920.53</v>
      </c>
      <c r="C27" s="66"/>
      <c r="D27" s="66">
        <f>D16-D25</f>
        <v>-6800</v>
      </c>
      <c r="E27" s="66"/>
      <c r="F27" s="54"/>
      <c r="G27" s="54"/>
      <c r="H27" s="50"/>
      <c r="I27" s="50"/>
    </row>
    <row r="28" spans="1:9" x14ac:dyDescent="0.2">
      <c r="A28" s="50"/>
      <c r="B28" s="50"/>
      <c r="C28" s="50"/>
      <c r="F28" s="50"/>
      <c r="G28" s="50"/>
      <c r="H28" s="50"/>
      <c r="I28" s="50"/>
    </row>
    <row r="29" spans="1:9" x14ac:dyDescent="0.2">
      <c r="H29" s="50"/>
      <c r="I29" s="50"/>
    </row>
    <row r="30" spans="1:9" x14ac:dyDescent="0.2">
      <c r="H30" s="50"/>
      <c r="I30" s="50"/>
    </row>
    <row r="31" spans="1:9" x14ac:dyDescent="0.2">
      <c r="H31" s="50"/>
      <c r="I31" s="50"/>
    </row>
    <row r="32" spans="1:9" x14ac:dyDescent="0.2">
      <c r="H32" s="50"/>
      <c r="I32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AUS Operating</vt:lpstr>
      <vt:lpstr>President</vt:lpstr>
      <vt:lpstr>VP Finance</vt:lpstr>
      <vt:lpstr>VP External</vt:lpstr>
      <vt:lpstr>VP Academic</vt:lpstr>
      <vt:lpstr>VP Internal</vt:lpstr>
      <vt:lpstr>VP Communications</vt:lpstr>
      <vt:lpstr>VP Social</vt:lpstr>
      <vt:lpstr>Office Expenses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 Xue</dc:creator>
  <cp:lastModifiedBy>Microsoft Office User</cp:lastModifiedBy>
  <dcterms:created xsi:type="dcterms:W3CDTF">2014-11-12T23:53:48Z</dcterms:created>
  <dcterms:modified xsi:type="dcterms:W3CDTF">2017-10-18T20:38:35Z</dcterms:modified>
</cp:coreProperties>
</file>