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pivotCache/pivotCacheDefinition5.xml" ContentType="application/vnd.openxmlformats-officedocument.spreadsheetml.pivotCacheDefinition+xml"/>
  <Override PartName="/xl/pivotCache/pivotCacheRecords5.xml" ContentType="application/vnd.openxmlformats-officedocument.spreadsheetml.pivotCacheRecords+xml"/>
  <Override PartName="/xl/pivotCache/pivotCacheDefinition6.xml" ContentType="application/vnd.openxmlformats-officedocument.spreadsheetml.pivotCacheDefinition+xml"/>
  <Override PartName="/xl/pivotCache/pivotCacheRecords6.xml" ContentType="application/vnd.openxmlformats-officedocument.spreadsheetml.pivotCacheRecords+xml"/>
  <Override PartName="/xl/pivotCache/pivotCacheDefinition7.xml" ContentType="application/vnd.openxmlformats-officedocument.spreadsheetml.pivotCacheDefinition+xml"/>
  <Override PartName="/xl/pivotCache/pivotCacheRecords7.xml" ContentType="application/vnd.openxmlformats-officedocument.spreadsheetml.pivotCacheRecords+xml"/>
  <Override PartName="/xl/pivotCache/pivotCacheDefinition8.xml" ContentType="application/vnd.openxmlformats-officedocument.spreadsheetml.pivotCacheDefinition+xml"/>
  <Override PartName="/xl/pivotCache/pivotCacheRecords8.xml" ContentType="application/vnd.openxmlformats-officedocument.spreadsheetml.pivotCacheRecords+xml"/>
  <Override PartName="/xl/pivotCache/pivotCacheDefinition9.xml" ContentType="application/vnd.openxmlformats-officedocument.spreadsheetml.pivotCacheDefinition+xml"/>
  <Override PartName="/xl/pivotCache/pivotCacheRecords9.xml" ContentType="application/vnd.openxmlformats-officedocument.spreadsheetml.pivotCacheRecords+xml"/>
  <Override PartName="/xl/pivotCache/pivotCacheDefinition10.xml" ContentType="application/vnd.openxmlformats-officedocument.spreadsheetml.pivotCacheDefinition+xml"/>
  <Override PartName="/xl/pivotCache/pivotCacheRecords10.xml" ContentType="application/vnd.openxmlformats-officedocument.spreadsheetml.pivotCacheRecords+xml"/>
  <Override PartName="/xl/pivotCache/pivotCacheDefinition11.xml" ContentType="application/vnd.openxmlformats-officedocument.spreadsheetml.pivotCacheDefinition+xml"/>
  <Override PartName="/xl/pivotCache/pivotCacheRecords11.xml" ContentType="application/vnd.openxmlformats-officedocument.spreadsheetml.pivotCacheRecords+xml"/>
  <Override PartName="/xl/pivotCache/pivotCacheDefinition12.xml" ContentType="application/vnd.openxmlformats-officedocument.spreadsheetml.pivotCacheDefinition+xml"/>
  <Override PartName="/xl/pivotCache/pivotCacheRecords12.xml" ContentType="application/vnd.openxmlformats-officedocument.spreadsheetml.pivotCacheRecords+xml"/>
  <Override PartName="/xl/pivotCache/pivotCacheDefinition13.xml" ContentType="application/vnd.openxmlformats-officedocument.spreadsheetml.pivotCacheDefinition+xml"/>
  <Override PartName="/xl/pivotCache/pivotCacheRecords13.xml" ContentType="application/vnd.openxmlformats-officedocument.spreadsheetml.pivotCacheRecords+xml"/>
  <Override PartName="/xl/pivotCache/pivotCacheDefinition14.xml" ContentType="application/vnd.openxmlformats-officedocument.spreadsheetml.pivotCacheDefinition+xml"/>
  <Override PartName="/xl/pivotCache/pivotCacheRecords14.xml" ContentType="application/vnd.openxmlformats-officedocument.spreadsheetml.pivotCacheRecords+xml"/>
  <Override PartName="/xl/pivotCache/pivotCacheDefinition15.xml" ContentType="application/vnd.openxmlformats-officedocument.spreadsheetml.pivotCacheDefinition+xml"/>
  <Override PartName="/xl/pivotCache/pivotCacheRecords15.xml" ContentType="application/vnd.openxmlformats-officedocument.spreadsheetml.pivotCacheRecords+xml"/>
  <Override PartName="/xl/pivotCache/pivotCacheDefinition16.xml" ContentType="application/vnd.openxmlformats-officedocument.spreadsheetml.pivotCacheDefinition+xml"/>
  <Override PartName="/xl/pivotCache/pivotCacheRecords16.xml" ContentType="application/vnd.openxmlformats-officedocument.spreadsheetml.pivotCacheRecords+xml"/>
  <Override PartName="/xl/pivotCache/pivotCacheDefinition17.xml" ContentType="application/vnd.openxmlformats-officedocument.spreadsheetml.pivotCacheDefinition+xml"/>
  <Override PartName="/xl/pivotCache/pivotCacheRecords17.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pivotTables/pivotTable7.xml" ContentType="application/vnd.openxmlformats-officedocument.spreadsheetml.pivotTable+xml"/>
  <Override PartName="/xl/pivotTables/pivotTable8.xml" ContentType="application/vnd.openxmlformats-officedocument.spreadsheetml.pivotTable+xml"/>
  <Override PartName="/xl/pivotTables/pivotTable9.xml" ContentType="application/vnd.openxmlformats-officedocument.spreadsheetml.pivotTable+xml"/>
  <Override PartName="/xl/pivotTables/pivotTable10.xml" ContentType="application/vnd.openxmlformats-officedocument.spreadsheetml.pivotTable+xml"/>
  <Override PartName="/xl/pivotTables/pivotTable11.xml" ContentType="application/vnd.openxmlformats-officedocument.spreadsheetml.pivotTable+xml"/>
  <Override PartName="/xl/pivotTables/pivotTable12.xml" ContentType="application/vnd.openxmlformats-officedocument.spreadsheetml.pivotTable+xml"/>
  <Override PartName="/xl/pivotTables/pivotTable13.xml" ContentType="application/vnd.openxmlformats-officedocument.spreadsheetml.pivotTable+xml"/>
  <Override PartName="/xl/pivotTables/pivotTable14.xml" ContentType="application/vnd.openxmlformats-officedocument.spreadsheetml.pivotTable+xml"/>
  <Override PartName="/xl/pivotTables/pivotTable15.xml" ContentType="application/vnd.openxmlformats-officedocument.spreadsheetml.pivotTable+xml"/>
  <Override PartName="/xl/pivotTables/pivotTable16.xml" ContentType="application/vnd.openxmlformats-officedocument.spreadsheetml.pivotTable+xml"/>
  <Override PartName="/xl/pivotTables/pivotTable17.xml" ContentType="application/vnd.openxmlformats-officedocument.spreadsheetml.pivotTable+xml"/>
  <Override PartName="/xl/pivotTables/pivotTable18.xml" ContentType="application/vnd.openxmlformats-officedocument.spreadsheetml.pivotTable+xml"/>
  <Override PartName="/xl/pivotTables/pivotTable19.xml" ContentType="application/vnd.openxmlformats-officedocument.spreadsheetml.pivotTable+xml"/>
  <Override PartName="/xl/pivotTables/pivotTable20.xml" ContentType="application/vnd.openxmlformats-officedocument.spreadsheetml.pivotTable+xml"/>
  <Override PartName="/xl/pivotTables/pivotTable21.xml" ContentType="application/vnd.openxmlformats-officedocument.spreadsheetml.pivotTable+xml"/>
  <Override PartName="/xl/pivotTables/pivotTable22.xml" ContentType="application/vnd.openxmlformats-officedocument.spreadsheetml.pivotTable+xml"/>
  <Override PartName="/xl/pivotTables/pivotTable23.xml" ContentType="application/vnd.openxmlformats-officedocument.spreadsheetml.pivotTable+xml"/>
  <Override PartName="/xl/pivotTables/pivotTable24.xml" ContentType="application/vnd.openxmlformats-officedocument.spreadsheetml.pivotTable+xml"/>
  <Override PartName="/xl/pivotTables/pivotTable25.xml" ContentType="application/vnd.openxmlformats-officedocument.spreadsheetml.pivotTable+xml"/>
  <Override PartName="/xl/pivotTables/pivotTable26.xml" ContentType="application/vnd.openxmlformats-officedocument.spreadsheetml.pivotTable+xml"/>
  <Override PartName="/xl/pivotTables/pivotTable27.xml" ContentType="application/vnd.openxmlformats-officedocument.spreadsheetml.pivotTable+xml"/>
  <Override PartName="/xl/pivotTables/pivotTable28.xml" ContentType="application/vnd.openxmlformats-officedocument.spreadsheetml.pivotTable+xml"/>
  <Override PartName="/xl/pivotTables/pivotTable29.xml" ContentType="application/vnd.openxmlformats-officedocument.spreadsheetml.pivotTable+xml"/>
  <Override PartName="/xl/pivotTables/pivotTable30.xml" ContentType="application/vnd.openxmlformats-officedocument.spreadsheetml.pivotTable+xml"/>
  <Override PartName="/xl/pivotTables/pivotTable31.xml" ContentType="application/vnd.openxmlformats-officedocument.spreadsheetml.pivotTable+xml"/>
  <Override PartName="/xl/pivotTables/pivotTable32.xml" ContentType="application/vnd.openxmlformats-officedocument.spreadsheetml.pivotTable+xml"/>
  <Override PartName="/xl/pivotTables/pivotTable33.xml" ContentType="application/vnd.openxmlformats-officedocument.spreadsheetml.pivotTable+xml"/>
  <Override PartName="/xl/pivotTables/pivotTable34.xml" ContentType="application/vnd.openxmlformats-officedocument.spreadsheetml.pivotTable+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omments1.xml" ContentType="application/vnd.openxmlformats-officedocument.spreadsheetml.comments+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tables/table3.xml" ContentType="application/vnd.openxmlformats-officedocument.spreadsheetml.table+xml"/>
  <Override PartName="/xl/tables/table4.xml" ContentType="application/vnd.openxmlformats-officedocument.spreadsheetml.tab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tables/table5.xml" ContentType="application/vnd.openxmlformats-officedocument.spreadsheetml.tab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7.xml" ContentType="application/vnd.openxmlformats-officedocument.drawing+xml"/>
  <Override PartName="/xl/tables/table6.xml" ContentType="application/vnd.openxmlformats-officedocument.spreadsheetml.tab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hidePivotFieldList="1" defaultThemeVersion="166925"/>
  <mc:AlternateContent xmlns:mc="http://schemas.openxmlformats.org/markup-compatibility/2006">
    <mc:Choice Requires="x15">
      <x15ac:absPath xmlns:x15ac="http://schemas.microsoft.com/office/spreadsheetml/2010/11/ac" url="C:\Users\Stefan Suvajac\Desktop\AUS VP Finance\Proposed Budgets\Final Budget Documents\"/>
    </mc:Choice>
  </mc:AlternateContent>
  <xr:revisionPtr revIDLastSave="0" documentId="13_ncr:1_{42FDD543-3F13-4C9D-B76E-1CE6D00F3280}" xr6:coauthVersionLast="44" xr6:coauthVersionMax="44" xr10:uidLastSave="{00000000-0000-0000-0000-000000000000}"/>
  <bookViews>
    <workbookView xWindow="-98" yWindow="-98" windowWidth="19396" windowHeight="10395" tabRatio="948" xr2:uid="{00000000-000D-0000-FFFF-FFFF00000000}"/>
  </bookViews>
  <sheets>
    <sheet name="1) Introduction" sheetId="26" r:id="rId1"/>
    <sheet name="2) AUS Operating Summary" sheetId="1" r:id="rId2"/>
    <sheet name="3) President" sheetId="3" r:id="rId3"/>
    <sheet name="4) VP Internal" sheetId="5" r:id="rId4"/>
    <sheet name="5) VP Finance" sheetId="4" r:id="rId5"/>
    <sheet name="6) VP Academic" sheetId="6" r:id="rId6"/>
    <sheet name="7) VP Communications" sheetId="7" r:id="rId7"/>
    <sheet name="8) VP External" sheetId="10" r:id="rId8"/>
    <sheet name="9) VP Services" sheetId="11" r:id="rId9"/>
    <sheet name="10) VP Social" sheetId="8" r:id="rId10"/>
    <sheet name="11) Stipends and Wages FY2020" sheetId="9" r:id="rId11"/>
    <sheet name="12) Departments" sheetId="12" r:id="rId12"/>
    <sheet name="13) Future Outlook" sheetId="32" r:id="rId13"/>
    <sheet name="14) Revenue Projections" sheetId="38" r:id="rId14"/>
    <sheet name="15) Expense Projections" sheetId="37" r:id="rId15"/>
    <sheet name="Reference Projections FY2020" sheetId="39" r:id="rId16"/>
    <sheet name="Reference Projections on FY2020" sheetId="40" r:id="rId17"/>
  </sheets>
  <definedNames>
    <definedName name="Apples">#REF!</definedName>
    <definedName name="Bananas">#REF!</definedName>
    <definedName name="grp_WalkMeArrows">"shp_ArrowCurved,txt_WalkMeArrows,shp_ArrowStraight"</definedName>
    <definedName name="grp_WalkMeBrace">"shp_BraceBottom,txt_WalkMeBrace,shp_BraceLeft"</definedName>
    <definedName name="Lemons">#REF!</definedName>
    <definedName name="lst_Fruit">#REF!</definedName>
    <definedName name="lst_FruitType">#REF!</definedName>
    <definedName name="Oranges">#REF!</definedName>
    <definedName name="SalesTax">0.0825</definedName>
    <definedName name="Shipping">1.25</definedName>
  </definedNames>
  <calcPr calcId="191029"/>
  <pivotCaches>
    <pivotCache cacheId="156" r:id="rId18"/>
    <pivotCache cacheId="160" r:id="rId19"/>
    <pivotCache cacheId="164" r:id="rId20"/>
    <pivotCache cacheId="168" r:id="rId21"/>
    <pivotCache cacheId="172" r:id="rId22"/>
    <pivotCache cacheId="176" r:id="rId23"/>
    <pivotCache cacheId="180" r:id="rId24"/>
    <pivotCache cacheId="184" r:id="rId25"/>
    <pivotCache cacheId="188" r:id="rId26"/>
    <pivotCache cacheId="192" r:id="rId27"/>
    <pivotCache cacheId="196" r:id="rId28"/>
    <pivotCache cacheId="200" r:id="rId29"/>
    <pivotCache cacheId="204" r:id="rId30"/>
    <pivotCache cacheId="208" r:id="rId31"/>
    <pivotCache cacheId="212" r:id="rId32"/>
    <pivotCache cacheId="216" r:id="rId33"/>
    <pivotCache cacheId="220" r:id="rId34"/>
  </pivotCache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1" i="8" l="1"/>
  <c r="E131" i="9" l="1"/>
  <c r="B121" i="9"/>
  <c r="D130" i="9"/>
  <c r="F131" i="9"/>
  <c r="G131" i="9" s="1"/>
  <c r="H131" i="9" s="1"/>
  <c r="H129" i="9"/>
  <c r="G129" i="9"/>
  <c r="F129" i="9"/>
  <c r="B120" i="9" l="1"/>
  <c r="B126" i="9" l="1"/>
  <c r="C196" i="12" l="1"/>
  <c r="B130" i="9"/>
  <c r="B131" i="9"/>
  <c r="C198" i="12"/>
  <c r="C192" i="12"/>
  <c r="C143" i="12"/>
  <c r="C36" i="12"/>
  <c r="C99" i="12" s="1"/>
  <c r="B15" i="1" s="1"/>
  <c r="C10" i="40"/>
  <c r="C11" i="40"/>
  <c r="C10" i="39"/>
  <c r="C11" i="39"/>
  <c r="C11" i="38"/>
  <c r="H2" i="38"/>
  <c r="H6" i="38"/>
  <c r="C12" i="38"/>
  <c r="H3" i="38"/>
  <c r="H7" i="38"/>
  <c r="H5" i="38"/>
  <c r="C13" i="38"/>
  <c r="H4" i="38"/>
  <c r="H8" i="38"/>
  <c r="C14" i="38"/>
  <c r="C12" i="37"/>
  <c r="H3" i="37"/>
  <c r="H7" i="37"/>
  <c r="H6" i="37"/>
  <c r="C13" i="37"/>
  <c r="H4" i="37"/>
  <c r="H8" i="37"/>
  <c r="C14" i="37"/>
  <c r="H5" i="37"/>
  <c r="C11" i="37"/>
  <c r="H2" i="37"/>
  <c r="N7" i="32"/>
  <c r="K7" i="32"/>
  <c r="K8" i="32"/>
  <c r="N8" i="32"/>
  <c r="M8" i="32"/>
  <c r="L8" i="32"/>
  <c r="B29" i="1"/>
  <c r="B12" i="1"/>
  <c r="C22" i="8"/>
  <c r="C11" i="8"/>
  <c r="E11" i="40"/>
  <c r="D11" i="40"/>
  <c r="E10" i="40"/>
  <c r="D10" i="40"/>
  <c r="E11" i="39"/>
  <c r="E10" i="39"/>
  <c r="D10" i="39"/>
  <c r="D11" i="39"/>
  <c r="E14" i="38"/>
  <c r="D12" i="38"/>
  <c r="D14" i="38"/>
  <c r="E12" i="38"/>
  <c r="D13" i="38"/>
  <c r="D11" i="38"/>
  <c r="E13" i="38"/>
  <c r="E11" i="38"/>
  <c r="D11" i="37"/>
  <c r="D13" i="37"/>
  <c r="E11" i="37"/>
  <c r="E13" i="37"/>
  <c r="D14" i="37"/>
  <c r="D12" i="37"/>
  <c r="E14" i="37"/>
  <c r="E12" i="37"/>
  <c r="M7" i="32"/>
  <c r="L7" i="32"/>
  <c r="C23" i="8"/>
  <c r="C25" i="4"/>
  <c r="C17" i="7"/>
  <c r="B11" i="1"/>
  <c r="B10" i="1"/>
  <c r="B6" i="1"/>
  <c r="C22" i="10"/>
  <c r="B23" i="1"/>
  <c r="C11" i="10"/>
  <c r="C24" i="10"/>
  <c r="B7" i="1"/>
  <c r="C19" i="11"/>
  <c r="B27" i="1"/>
  <c r="C11" i="11"/>
  <c r="C20" i="11" s="1"/>
  <c r="C18" i="7"/>
  <c r="B28" i="1"/>
  <c r="C10" i="7"/>
  <c r="C20" i="7"/>
  <c r="C18" i="6"/>
  <c r="B26" i="1"/>
  <c r="C9" i="6"/>
  <c r="C20" i="6"/>
  <c r="C43" i="4"/>
  <c r="B24" i="1"/>
  <c r="C21" i="4"/>
  <c r="C11" i="4"/>
  <c r="C10" i="4"/>
  <c r="C9" i="4"/>
  <c r="C8" i="4"/>
  <c r="C14" i="4"/>
  <c r="C44" i="4" s="1"/>
  <c r="C31" i="5"/>
  <c r="B25" i="1"/>
  <c r="C9" i="5"/>
  <c r="C33" i="5"/>
  <c r="B9" i="1"/>
  <c r="C26" i="3"/>
  <c r="B22" i="1"/>
  <c r="C9" i="3"/>
  <c r="C28" i="3"/>
  <c r="B140" i="9"/>
  <c r="B138" i="9"/>
  <c r="B139" i="9"/>
  <c r="B135" i="9"/>
  <c r="B134" i="9"/>
  <c r="B137" i="9"/>
  <c r="B124" i="9"/>
  <c r="B125" i="9"/>
  <c r="B116" i="9"/>
  <c r="B115" i="9"/>
  <c r="B107" i="9"/>
  <c r="B104" i="9"/>
  <c r="B100" i="9"/>
  <c r="B106" i="9"/>
  <c r="B89" i="9"/>
  <c r="B88" i="9"/>
  <c r="B71" i="9"/>
  <c r="G15" i="9"/>
  <c r="B70" i="9"/>
  <c r="B54" i="9"/>
  <c r="B35" i="9"/>
  <c r="B38" i="9"/>
  <c r="G27" i="9"/>
  <c r="B22" i="9"/>
  <c r="G28" i="9"/>
  <c r="G30" i="9" s="1"/>
  <c r="G11" i="9" s="1"/>
  <c r="B31" i="1" s="1"/>
  <c r="B21" i="9"/>
  <c r="G26" i="9"/>
  <c r="G21" i="9"/>
  <c r="G20" i="9"/>
  <c r="G12" i="9"/>
  <c r="B9" i="9"/>
  <c r="B8" i="9"/>
  <c r="B13" i="9"/>
  <c r="G31" i="9"/>
  <c r="G13" i="9"/>
  <c r="G22" i="9"/>
  <c r="G23" i="9"/>
  <c r="G10" i="9"/>
  <c r="B23" i="9"/>
  <c r="B26" i="9"/>
  <c r="C243" i="12" l="1"/>
  <c r="B21" i="1" s="1"/>
  <c r="B32" i="1" s="1"/>
  <c r="J8" i="32" s="1"/>
  <c r="B8" i="1"/>
  <c r="B13" i="1"/>
  <c r="C245" i="12" l="1"/>
  <c r="B16" i="1"/>
  <c r="J7" i="32" s="1"/>
  <c r="B34"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Stefan Suvajac</author>
  </authors>
  <commentList>
    <comment ref="G6" authorId="0" shapeId="0" xr:uid="{D489D554-BA0C-492E-BDB5-48C73FAD50B3}">
      <text>
        <r>
          <rPr>
            <b/>
            <sz val="9"/>
            <color indexed="81"/>
            <rFont val="Tahoma"/>
            <family val="2"/>
          </rPr>
          <t>Stefan Suvajac:</t>
        </r>
        <r>
          <rPr>
            <sz val="9"/>
            <color indexed="81"/>
            <rFont val="Tahoma"/>
            <family val="2"/>
          </rPr>
          <t xml:space="preserve">
Fee Increase
</t>
        </r>
      </text>
    </comment>
    <comment ref="L6" authorId="0" shapeId="0" xr:uid="{33D0DA3F-7B08-40BE-829A-6DFA50F13DA0}">
      <text>
        <r>
          <rPr>
            <b/>
            <sz val="9"/>
            <color indexed="81"/>
            <rFont val="Tahoma"/>
            <family val="2"/>
          </rPr>
          <t>Stefan Suvajac:</t>
        </r>
        <r>
          <rPr>
            <sz val="9"/>
            <color indexed="81"/>
            <rFont val="Tahoma"/>
            <family val="2"/>
          </rPr>
          <t xml:space="preserve">
Projected fee increase</t>
        </r>
      </text>
    </comment>
  </commentList>
</comments>
</file>

<file path=xl/sharedStrings.xml><?xml version="1.0" encoding="utf-8"?>
<sst xmlns="http://schemas.openxmlformats.org/spreadsheetml/2006/main" count="1488" uniqueCount="521">
  <si>
    <t>Revenue</t>
  </si>
  <si>
    <t>Description</t>
  </si>
  <si>
    <t>Projected</t>
  </si>
  <si>
    <t>Actual Notes</t>
  </si>
  <si>
    <t>Total Revenue</t>
  </si>
  <si>
    <t>President</t>
  </si>
  <si>
    <t xml:space="preserve">VP External </t>
  </si>
  <si>
    <t>Expenses</t>
  </si>
  <si>
    <t>VP Finance</t>
  </si>
  <si>
    <t xml:space="preserve">VP Internal </t>
  </si>
  <si>
    <t>VP Academic</t>
  </si>
  <si>
    <t>VP Communications</t>
  </si>
  <si>
    <t xml:space="preserve">Projected </t>
  </si>
  <si>
    <t>VP Social</t>
  </si>
  <si>
    <t xml:space="preserve">Frosh Revenues </t>
  </si>
  <si>
    <t>Total Expenses</t>
  </si>
  <si>
    <t>Deputy Secretary General</t>
  </si>
  <si>
    <t>Working Surplus / Deficit</t>
  </si>
  <si>
    <t xml:space="preserve">President </t>
  </si>
  <si>
    <t>Frosh Expenses</t>
  </si>
  <si>
    <t>Profit/Loss</t>
  </si>
  <si>
    <t>Graphic Designer</t>
  </si>
  <si>
    <t>Arts Undergraduate Society</t>
  </si>
  <si>
    <t>Allocation Breakdown - FY2020</t>
  </si>
  <si>
    <t xml:space="preserve">CLASS: President </t>
  </si>
  <si>
    <t>Amounts</t>
  </si>
  <si>
    <t>Notes</t>
  </si>
  <si>
    <t xml:space="preserve">TOTALS </t>
  </si>
  <si>
    <t xml:space="preserve">Notes: </t>
  </si>
  <si>
    <t>1)  All "Total Stipends " are aggregated into the GLA "6850 - Stipends"</t>
  </si>
  <si>
    <t>Stipends</t>
  </si>
  <si>
    <t>Final GLA Breakdown</t>
  </si>
  <si>
    <t>CRO</t>
  </si>
  <si>
    <t xml:space="preserve">8502 - SNAX Payroll  </t>
  </si>
  <si>
    <t>3) "Total Snax Wages" is aggregated into the GLA "8502 - SNAX Payroll"</t>
  </si>
  <si>
    <t>Speaker</t>
  </si>
  <si>
    <t>10101 - Payroll Expense: Wages</t>
  </si>
  <si>
    <t xml:space="preserve">DRO </t>
  </si>
  <si>
    <t>10102 - Peer Tutoring</t>
  </si>
  <si>
    <t>6850 - Stipends</t>
  </si>
  <si>
    <t>Total Stipends</t>
  </si>
  <si>
    <t>Total Units</t>
  </si>
  <si>
    <t xml:space="preserve">Hourly Employees </t>
  </si>
  <si>
    <t>Hourly ($15)</t>
  </si>
  <si>
    <t xml:space="preserve">Detailed Total Breakdown </t>
  </si>
  <si>
    <t>SNAX</t>
  </si>
  <si>
    <t xml:space="preserve">Hourly ($15) </t>
  </si>
  <si>
    <t>Total Hour Allocation (12.5)</t>
  </si>
  <si>
    <t xml:space="preserve">Secretary General </t>
  </si>
  <si>
    <t>Hourly ($12.50)</t>
  </si>
  <si>
    <t>Total Hour Allocation (13)</t>
  </si>
  <si>
    <t>Salary</t>
  </si>
  <si>
    <t>Total Hour Allocation (15)</t>
  </si>
  <si>
    <t>Total SNAX Wages</t>
  </si>
  <si>
    <t>Total Amount</t>
  </si>
  <si>
    <t>AUS Main</t>
  </si>
  <si>
    <t>Total Hour Allocation (15) - Peer Tutors</t>
  </si>
  <si>
    <t>Total Projected Stipend and Payroll</t>
  </si>
  <si>
    <t xml:space="preserve">CLASS: VP Internal </t>
  </si>
  <si>
    <t>Total Wages (including Peer Tutors)</t>
  </si>
  <si>
    <t xml:space="preserve">Stipends </t>
  </si>
  <si>
    <t xml:space="preserve">Total Stipends </t>
  </si>
  <si>
    <t>AUSec Commissioner</t>
  </si>
  <si>
    <t xml:space="preserve">Internal Commissioner </t>
  </si>
  <si>
    <t>CLASS: VP Services</t>
  </si>
  <si>
    <t>Media Coordinator</t>
  </si>
  <si>
    <t>Essay Centre Coordinator - External</t>
  </si>
  <si>
    <t>Sponsorship Coordinator</t>
  </si>
  <si>
    <t>Photographer</t>
  </si>
  <si>
    <t xml:space="preserve">VP Services - "Stipends" Continued </t>
  </si>
  <si>
    <t>Internal Coordinator</t>
  </si>
  <si>
    <t>CLASS: VP Communications</t>
  </si>
  <si>
    <t xml:space="preserve">Translator </t>
  </si>
  <si>
    <t>Webmaster</t>
  </si>
  <si>
    <t>Handbook Coordinator</t>
  </si>
  <si>
    <t>Fine Arts Commissioner</t>
  </si>
  <si>
    <t xml:space="preserve">Recording Secretary </t>
  </si>
  <si>
    <t xml:space="preserve">Media Coordinator </t>
  </si>
  <si>
    <t xml:space="preserve">Total Units </t>
  </si>
  <si>
    <t xml:space="preserve">CLASS: VP External </t>
  </si>
  <si>
    <t>Arts Community Engagement Commissioner</t>
  </si>
  <si>
    <t>Career Coordinator</t>
  </si>
  <si>
    <t>Mental Health Commissioner</t>
  </si>
  <si>
    <t>Commuter Support and Engagement Commissioner</t>
  </si>
  <si>
    <t>Work Your BA Coordinator</t>
  </si>
  <si>
    <t>Graduate Fair Coordinator</t>
  </si>
  <si>
    <t xml:space="preserve">CLASS: VP Academic </t>
  </si>
  <si>
    <t>Publications Commissioner (AUSPC)</t>
  </si>
  <si>
    <t>Communications Commissioner (AUSPC)</t>
  </si>
  <si>
    <t>Archiving Commissioner (AUSPC)</t>
  </si>
  <si>
    <t>Academic Affairs Commissioner</t>
  </si>
  <si>
    <t>Hourly Employees</t>
  </si>
  <si>
    <t>Peer Tutor Allocation (15.00)</t>
  </si>
  <si>
    <t>Total Hour Allocation</t>
  </si>
  <si>
    <t>Subject to Change based on tutor requests</t>
  </si>
  <si>
    <t xml:space="preserve">CLASS: VP Finance </t>
  </si>
  <si>
    <t xml:space="preserve">Ethical Business Practices Commissioners </t>
  </si>
  <si>
    <t xml:space="preserve">Finance Commissioner </t>
  </si>
  <si>
    <t xml:space="preserve">CLASS: Executives and Office </t>
  </si>
  <si>
    <t>Executive Assistants (15)</t>
  </si>
  <si>
    <t>Executives and Senator (12.50)</t>
  </si>
  <si>
    <t>Summer Backpay Envelope (12.50)</t>
  </si>
  <si>
    <t xml:space="preserve">Total Hour Allocation </t>
  </si>
  <si>
    <t>Different QBO - SNAX (VP Finance)</t>
  </si>
  <si>
    <t>Regular Staff (12.50) (0.70)</t>
  </si>
  <si>
    <t>Regular Staff (13.00) (0.30)</t>
  </si>
  <si>
    <t xml:space="preserve">Salary </t>
  </si>
  <si>
    <t>Manager</t>
  </si>
  <si>
    <t xml:space="preserve">Assistant Manager </t>
  </si>
  <si>
    <t xml:space="preserve">Total Salary </t>
  </si>
  <si>
    <t>CLASS</t>
  </si>
  <si>
    <t>General Ledger Account</t>
  </si>
  <si>
    <t xml:space="preserve">Notes </t>
  </si>
  <si>
    <t xml:space="preserve">General Ledger Account </t>
  </si>
  <si>
    <t>President: Provide Support Chatline</t>
  </si>
  <si>
    <t>Discretionary Spending</t>
  </si>
  <si>
    <t xml:space="preserve">To be allocated to GLAs at the discretion of the President and VP Finance </t>
  </si>
  <si>
    <t xml:space="preserve">President: Special Projects </t>
  </si>
  <si>
    <t>President: Executive Committee</t>
  </si>
  <si>
    <t>9850 - Misc. Events: Food</t>
  </si>
  <si>
    <t xml:space="preserve">Food for Executive Committee Meetings and Staff mixers </t>
  </si>
  <si>
    <t>6800 - Apparel/Accessories</t>
  </si>
  <si>
    <t xml:space="preserve">Hoodies for the Executive Committee </t>
  </si>
  <si>
    <t>7100 - Alcohol</t>
  </si>
  <si>
    <t xml:space="preserve">Staff mixers </t>
  </si>
  <si>
    <t xml:space="preserve">President: Executive Retreat </t>
  </si>
  <si>
    <t>10701 - Travel</t>
  </si>
  <si>
    <t xml:space="preserve">Travel for executive committee retreat </t>
  </si>
  <si>
    <t>9700 - Hotels and Accomodations</t>
  </si>
  <si>
    <t xml:space="preserve">Venue for executive committee retreat </t>
  </si>
  <si>
    <t xml:space="preserve">Food for executive committee retreat </t>
  </si>
  <si>
    <t xml:space="preserve">President: Equity </t>
  </si>
  <si>
    <t xml:space="preserve">10450 - Venue Rental </t>
  </si>
  <si>
    <t xml:space="preserve">President: Operating </t>
  </si>
  <si>
    <t>10200 - Stationary and Printing</t>
  </si>
  <si>
    <t xml:space="preserve">CopieNova and AUS Business Cards </t>
  </si>
  <si>
    <t>10000 - Dues and Subscriptions</t>
  </si>
  <si>
    <t>Slack and Elections software</t>
  </si>
  <si>
    <t>7500 - Insurance</t>
  </si>
  <si>
    <t xml:space="preserve">Yearly liability insurance purchase </t>
  </si>
  <si>
    <t>10240 - Legal and Professional Fees</t>
  </si>
  <si>
    <t xml:space="preserve">Class: VP Internal </t>
  </si>
  <si>
    <t>VP Internal: FEARC</t>
  </si>
  <si>
    <t>3900 - AUS Revenues: Refistration Fees</t>
  </si>
  <si>
    <t>Selling tickets for Quebec city trip - would like for ticket prices to be lower this year</t>
  </si>
  <si>
    <t>VP Internal: Departmental Fair</t>
  </si>
  <si>
    <t xml:space="preserve">To book NRH Ballroom for February event (SUS x AUS departmental fair) - new initiative </t>
  </si>
  <si>
    <t>VP Internal: AUS Awards</t>
  </si>
  <si>
    <t xml:space="preserve">7100 - Alcohol </t>
  </si>
  <si>
    <t>Booking space (Airbnb or event hall), plaques/medals for departments, more food, alcohol expenses</t>
  </si>
  <si>
    <t>VP Internal: AUS Holiday Party</t>
  </si>
  <si>
    <t xml:space="preserve">Supplying nutrition and entertainment for the event </t>
  </si>
  <si>
    <t>VP Internal: Departmental Orientation</t>
  </si>
  <si>
    <t xml:space="preserve">Pizza for departmental orientation (spent $550 on pizza, will spent an additional $250) </t>
  </si>
  <si>
    <t>10700 - Transportation</t>
  </si>
  <si>
    <t>For FEARC events and to subsidize part of Quebec trip expenses</t>
  </si>
  <si>
    <t>9700 - Hotels and Accomodation</t>
  </si>
  <si>
    <t>FEARC Flyers, 1400 postcards for Frosh bag inserts (~$700) and Xerox Copier</t>
  </si>
  <si>
    <t xml:space="preserve">VP Internal: Operating </t>
  </si>
  <si>
    <t>8000 - Supplies</t>
  </si>
  <si>
    <t xml:space="preserve">For small purchases (i.e. adapter, copying keys for departments, cleaning supplies, office supplies) </t>
  </si>
  <si>
    <t xml:space="preserve">Costco membership </t>
  </si>
  <si>
    <t>7200 - Liquor Permits</t>
  </si>
  <si>
    <t xml:space="preserve">Liquor permits ($564 total for pre-booked wine and cheeses, around ~$250 for extra permits for other events ) </t>
  </si>
  <si>
    <t xml:space="preserve">8100 - Advertising/Promotional </t>
  </si>
  <si>
    <t>AUS Tabling Materials: To invest in AUS banner, postcards and tablecloth for future AUS tablings (i.e. Services Fair, Activities Night, etc.)</t>
  </si>
  <si>
    <t>Presidents/Finance Roundtable : For refreshments during meetings (1 per semester for each position)</t>
  </si>
  <si>
    <t xml:space="preserve">CLASS </t>
  </si>
  <si>
    <t xml:space="preserve">Student Fees </t>
  </si>
  <si>
    <t xml:space="preserve">Yearly base membership fee collection - classified under 20.1 FL Trail Balance </t>
  </si>
  <si>
    <t>Student Fees: AUTS</t>
  </si>
  <si>
    <t xml:space="preserve">Yearly AUTS fee collection </t>
  </si>
  <si>
    <t xml:space="preserve">8660 - Allocations </t>
  </si>
  <si>
    <t>4150 - Interest Earned</t>
  </si>
  <si>
    <t>Interest on savings and term deposits (last year's figure)</t>
  </si>
  <si>
    <t xml:space="preserve">Different QBO - SNAX </t>
  </si>
  <si>
    <t xml:space="preserve">4350 - SNAX Sales </t>
  </si>
  <si>
    <t>VP Finance: AUTS</t>
  </si>
  <si>
    <t xml:space="preserve">3985 - Sales of Product Income </t>
  </si>
  <si>
    <t xml:space="preserve">VP Finance: FMC: Jounral </t>
  </si>
  <si>
    <t xml:space="preserve">Discretionatry Spending </t>
  </si>
  <si>
    <t>To be allocated tp GLAs at the discretion of the VP Finance and FMC through FMCANs</t>
  </si>
  <si>
    <t>VP Finance: FMC: Special Project</t>
  </si>
  <si>
    <t xml:space="preserve">VP Finance: FMC: Supplementary </t>
  </si>
  <si>
    <t xml:space="preserve">VP Finance: Special Projects </t>
  </si>
  <si>
    <t>6851 - Subcontractors</t>
  </si>
  <si>
    <t>pVisio Consulting for Restructuring Initiative - Motion F1920-01</t>
  </si>
  <si>
    <t xml:space="preserve">VP Finance: Operations </t>
  </si>
  <si>
    <t xml:space="preserve">8300 - Bank Charges </t>
  </si>
  <si>
    <t>Bank processing charges - Audited (under 40.21 "Programs") amount - including laser cheque printing and deposit books</t>
  </si>
  <si>
    <t>6500 - Memorandum of Agreement: Accounting Fees</t>
  </si>
  <si>
    <t>Yearly Audit - Fuller Landau</t>
  </si>
  <si>
    <t>FMC Food and AUIF food - last year figure</t>
  </si>
  <si>
    <t xml:space="preserve">10000 - Dues and Subscriptions </t>
  </si>
  <si>
    <t>Garda - Deposit Service (to team up with SNAX)</t>
  </si>
  <si>
    <t>6000 - Amortization Pool &amp; Furniture</t>
  </si>
  <si>
    <t xml:space="preserve">To adjust for amortization </t>
  </si>
  <si>
    <t xml:space="preserve">6100 - Amortization Equipment </t>
  </si>
  <si>
    <t xml:space="preserve">8503 - Utilities </t>
  </si>
  <si>
    <t xml:space="preserve">7800 - Phone Charges </t>
  </si>
  <si>
    <t>VP Finance: EBPC</t>
  </si>
  <si>
    <t>Ethical Business Practices Committee - Committee allocation (to be allocated to GLAs at discretion of VP Finance)</t>
  </si>
  <si>
    <t xml:space="preserve">Moyse Hall rental and practice room rental </t>
  </si>
  <si>
    <t>Food concession purchases</t>
  </si>
  <si>
    <t xml:space="preserve">10300 - Promotional Expenses </t>
  </si>
  <si>
    <t xml:space="preserve">10200 - Stationary and Printing </t>
  </si>
  <si>
    <t>Program brochures</t>
  </si>
  <si>
    <t>10310 - Website Fees</t>
  </si>
  <si>
    <t xml:space="preserve">6400 - Theater Supplies </t>
  </si>
  <si>
    <t xml:space="preserve">10103 - Performance/Musicians </t>
  </si>
  <si>
    <t xml:space="preserve">Orchestra </t>
  </si>
  <si>
    <t xml:space="preserve">6050 - Taxes and Licenses </t>
  </si>
  <si>
    <t>Show Licensing</t>
  </si>
  <si>
    <t xml:space="preserve">10104 - Purchases </t>
  </si>
  <si>
    <t xml:space="preserve">Inventory Purchases </t>
  </si>
  <si>
    <t xml:space="preserve">MOA SNAX RENTAL </t>
  </si>
  <si>
    <t>Class: VP Academic</t>
  </si>
  <si>
    <t xml:space="preserve">Discretionary </t>
  </si>
  <si>
    <t>VP Academic: Operations</t>
  </si>
  <si>
    <t>Committee refreshments - based on previous years' figures</t>
  </si>
  <si>
    <t xml:space="preserve">VP Academic: Special Project </t>
  </si>
  <si>
    <t>Experiential Learning Fund: A 'fund' that departments can tap into to hold career advancing/ experiential learning based events - VPF and VPA allocate to GLAs</t>
  </si>
  <si>
    <t>VP Academic: Peer Tutoring</t>
  </si>
  <si>
    <t>Can be used to allocate funding to peer tutoring on a demand basis + special initiatives  - allocated to GLAs upon approval by VPs Academic and Finance</t>
  </si>
  <si>
    <t xml:space="preserve">CLASS: VP Communications </t>
  </si>
  <si>
    <t>VP Communications: FAC</t>
  </si>
  <si>
    <t>4250 - AUS Revenue: AUIF</t>
  </si>
  <si>
    <t xml:space="preserve">Increased in FY2020 - Sept AUIF By-law Amendment </t>
  </si>
  <si>
    <t xml:space="preserve">General Ledger Accounts </t>
  </si>
  <si>
    <t xml:space="preserve">Discretionary - FAC Compliant - Spending </t>
  </si>
  <si>
    <t xml:space="preserve">To be allocated to GLAs at the discretion of the VP Communications and VP Finance </t>
  </si>
  <si>
    <t>VP Communications:  Francophone Commission</t>
  </si>
  <si>
    <t xml:space="preserve">VP Communications: Marketing Committee </t>
  </si>
  <si>
    <t xml:space="preserve">Discretionary Spending </t>
  </si>
  <si>
    <t xml:space="preserve">VP Communications: Operations </t>
  </si>
  <si>
    <t xml:space="preserve">Handbook printing </t>
  </si>
  <si>
    <t xml:space="preserve">MailChimp Subscriptions - weekly listservs and websites </t>
  </si>
  <si>
    <t>Class: VP Services</t>
  </si>
  <si>
    <t xml:space="preserve">VP Services: Operating </t>
  </si>
  <si>
    <t>3990 - Services</t>
  </si>
  <si>
    <t>locker rental revenue</t>
  </si>
  <si>
    <t>Table Booking Revenue</t>
  </si>
  <si>
    <t>4000 - Sponsorship Received</t>
  </si>
  <si>
    <t xml:space="preserve">VP Services: Essay Center </t>
  </si>
  <si>
    <t xml:space="preserve">Tutor Gifts </t>
  </si>
  <si>
    <t>9850 - Misc. Events:Food</t>
  </si>
  <si>
    <t xml:space="preserve">Coffee and meals </t>
  </si>
  <si>
    <t xml:space="preserve">10200 - Stationery and Printing </t>
  </si>
  <si>
    <t xml:space="preserve">Promotional Pictures for Essay Center </t>
  </si>
  <si>
    <t>VP Services: Media Team</t>
  </si>
  <si>
    <t>8100 - Advertising/Promotional</t>
  </si>
  <si>
    <t>CLASS: VP External</t>
  </si>
  <si>
    <t xml:space="preserve">VP External: Grad Fair </t>
  </si>
  <si>
    <t xml:space="preserve">Grad Fair Registration </t>
  </si>
  <si>
    <t xml:space="preserve">VP External: Operations </t>
  </si>
  <si>
    <t xml:space="preserve">DADF Application </t>
  </si>
  <si>
    <t>VP External: ACEC</t>
  </si>
  <si>
    <t xml:space="preserve">Arts Community Engagement Committee - to be allocated to GLA's at the discretion of the VP External and VP Finance </t>
  </si>
  <si>
    <t>VP External: MHAUS</t>
  </si>
  <si>
    <t xml:space="preserve">MHAUS: Mental Health Committee - to be allocated to GLA's at the discretion of the VP External and VP Finance </t>
  </si>
  <si>
    <t>VP External: CSEC</t>
  </si>
  <si>
    <t>Commuter Support and Engagement Committee - to be allocated to GLAs at the discretion of the VP External and VP Finance</t>
  </si>
  <si>
    <t>VP External: Work Your BA</t>
  </si>
  <si>
    <t>VP Services</t>
  </si>
  <si>
    <t xml:space="preserve">SNAX Rental - MOA non-changeable </t>
  </si>
  <si>
    <t>Amount</t>
  </si>
  <si>
    <t xml:space="preserve">1) Introduction </t>
  </si>
  <si>
    <t xml:space="preserve">A Modest Proposal: AUS FY2020 Operating Budget </t>
  </si>
  <si>
    <t xml:space="preserve">Tab Title: </t>
  </si>
  <si>
    <t xml:space="preserve">Content Breakdown by Document Tab: </t>
  </si>
  <si>
    <t>1.1 Executive Committee FY2020</t>
  </si>
  <si>
    <t xml:space="preserve">3) President </t>
  </si>
  <si>
    <t xml:space="preserve">4) VP Internal </t>
  </si>
  <si>
    <t>5) VP Finance</t>
  </si>
  <si>
    <t>6) VP Academic</t>
  </si>
  <si>
    <t xml:space="preserve">Content Description: </t>
  </si>
  <si>
    <t>7) VP Communications</t>
  </si>
  <si>
    <t xml:space="preserve">8) VP External </t>
  </si>
  <si>
    <t>9) VP Services</t>
  </si>
  <si>
    <t xml:space="preserve">10) VP Social </t>
  </si>
  <si>
    <t>11) Stipends and Wages FY2020</t>
  </si>
  <si>
    <t xml:space="preserve">Presented to Legislative Council for Debate and Approval on October 16, 2019 </t>
  </si>
  <si>
    <t>VP Internal</t>
  </si>
  <si>
    <t>Arts Representative</t>
  </si>
  <si>
    <t>Jamal Tarrabain</t>
  </si>
  <si>
    <t>Maheen Akter</t>
  </si>
  <si>
    <t>Stefan Suvajac</t>
  </si>
  <si>
    <t>Ananya Nair</t>
  </si>
  <si>
    <t>Kim Yang</t>
  </si>
  <si>
    <t>Adin Chan</t>
  </si>
  <si>
    <t>Andrew Chase</t>
  </si>
  <si>
    <t>Haidee Pangilinan</t>
  </si>
  <si>
    <t>Darshan Daryanani</t>
  </si>
  <si>
    <t>Yoana Pehlyova</t>
  </si>
  <si>
    <t>Shreya Dandamudi</t>
  </si>
  <si>
    <t>11.1 Stipends and Wages FY2020 Categorized into Class, Sub-Class and GLAs</t>
  </si>
  <si>
    <t>10.1 VP Social's Budget Categorized into Sub-Class and GLAs</t>
  </si>
  <si>
    <t>9.1 VP Service's Budget Categorized into Sub-Class and GLAs</t>
  </si>
  <si>
    <t>8.1 VP External's Budget Categorized into Sub-Class and GLAs</t>
  </si>
  <si>
    <t>7.1 VP Communications's Budget Categorized into Sub-Class and GLAs</t>
  </si>
  <si>
    <t>6.1 VP Academic's Budget Categorized into Sub-Class and GLAs</t>
  </si>
  <si>
    <t>5.1 VP Finance's Budget Categorized into Sub- Class and GLAs</t>
  </si>
  <si>
    <t>4.1 VP Internal's Budget Categorized into Sub-Class and GLAs</t>
  </si>
  <si>
    <t>3.1 President's Budget Categorized into Sub-Class and GLAs</t>
  </si>
  <si>
    <t>Class Income</t>
  </si>
  <si>
    <t>Class Expenses</t>
  </si>
  <si>
    <t>2) AUS Operating Summary</t>
  </si>
  <si>
    <t>Row Labels</t>
  </si>
  <si>
    <t>Grand Total</t>
  </si>
  <si>
    <t>10450 - Venue Rental</t>
  </si>
  <si>
    <t>Sum of Projected</t>
  </si>
  <si>
    <t xml:space="preserve">Class: President </t>
  </si>
  <si>
    <t xml:space="preserve">Revenue: </t>
  </si>
  <si>
    <t>None</t>
  </si>
  <si>
    <t xml:space="preserve">Expenses: </t>
  </si>
  <si>
    <t>Class: VP Internal</t>
  </si>
  <si>
    <t>Class: VP Finance</t>
  </si>
  <si>
    <t>Revenue:</t>
  </si>
  <si>
    <t>Class: VP Communications</t>
  </si>
  <si>
    <t xml:space="preserve">Class: VP External </t>
  </si>
  <si>
    <t>General Ledger Accounts</t>
  </si>
  <si>
    <t>13.2 Long-term Trends in Revenues and Expenses</t>
  </si>
  <si>
    <t>13) Future Outlook</t>
  </si>
  <si>
    <t xml:space="preserve">None </t>
  </si>
  <si>
    <t xml:space="preserve">Class: VP Social </t>
  </si>
  <si>
    <t>Class</t>
  </si>
  <si>
    <t>2.2 Aggregating All Revenues and Expenses by Detailed Class and GLAs</t>
  </si>
  <si>
    <t>2.2 Aggregating All Revenues and Expenses by Detailed Class and GLA</t>
  </si>
  <si>
    <t>2) Under "AUS Main," (in Detailed Total Breakdown) "Total Wages" includes Peer Tutoring amounts - in the Final GLA Breakdown (under Totals), the amounts are seperated</t>
  </si>
  <si>
    <t>4) "Total Units" refers to the total number of individuals receiving compensation (as both wages and stipends) from the AUS (including SNAX)</t>
  </si>
  <si>
    <t>5) All payroll and stipend payments will be allocated to "Class: Stipends and Wages FY2020" (not, as in previous years, the respective Portfolio "Classes")</t>
  </si>
  <si>
    <t>12.1 Departmental Associations' Budgets Aggregated and Categorized into Sub-Class and GLAs</t>
  </si>
  <si>
    <t xml:space="preserve">2.1 Aggregating All Revenues and Expenses by Header Class </t>
  </si>
  <si>
    <t xml:space="preserve">Arts Undergraduate Society </t>
  </si>
  <si>
    <t xml:space="preserve">VP Social: BDA </t>
  </si>
  <si>
    <t xml:space="preserve">VP Social: Epic </t>
  </si>
  <si>
    <t xml:space="preserve">VP Social: Grad Ball </t>
  </si>
  <si>
    <t>General Notes:</t>
  </si>
  <si>
    <t xml:space="preserve">General Notes: </t>
  </si>
  <si>
    <t xml:space="preserve">Taken from the FY2019 audited financial statements </t>
  </si>
  <si>
    <t>Tax - AUS on payroll. We expect a credit on GST/QST at FYE 2020</t>
  </si>
  <si>
    <t>3900 - AUS Revenue: Registration Fees</t>
  </si>
  <si>
    <t xml:space="preserve">Increase in bursaries for FY2020 - Pilot Project </t>
  </si>
  <si>
    <t>Different QBO - SNAX</t>
  </si>
  <si>
    <t xml:space="preserve">Stipends and Wages </t>
  </si>
  <si>
    <t xml:space="preserve">Class: Stipends and Wages </t>
  </si>
  <si>
    <t xml:space="preserve">Expenses </t>
  </si>
  <si>
    <t xml:space="preserve">Sum of Projected </t>
  </si>
  <si>
    <t>Departments</t>
  </si>
  <si>
    <t>Class: Departments</t>
  </si>
  <si>
    <t>12) Departments</t>
  </si>
  <si>
    <t>Fiscal Year</t>
  </si>
  <si>
    <t>AUS Operations</t>
  </si>
  <si>
    <t>Statistic</t>
  </si>
  <si>
    <t>Value</t>
  </si>
  <si>
    <t>Alpha</t>
  </si>
  <si>
    <t>Beta</t>
  </si>
  <si>
    <t>Gamma</t>
  </si>
  <si>
    <t>MASE</t>
  </si>
  <si>
    <t>SMAPE</t>
  </si>
  <si>
    <t>MAE</t>
  </si>
  <si>
    <t>RMSE</t>
  </si>
  <si>
    <t xml:space="preserve">13.2 Long-term Trends in Revenues and Expenses </t>
  </si>
  <si>
    <t xml:space="preserve">Revenue Amount </t>
  </si>
  <si>
    <t xml:space="preserve">Expense Amount </t>
  </si>
  <si>
    <t>Department: AGELF</t>
  </si>
  <si>
    <t>Department: AHCSSSA</t>
  </si>
  <si>
    <t xml:space="preserve">Department ASA </t>
  </si>
  <si>
    <t>Department: ASSA</t>
  </si>
  <si>
    <t>Department: BASiC</t>
  </si>
  <si>
    <t xml:space="preserve">External </t>
  </si>
  <si>
    <t>Department: CLASHA</t>
  </si>
  <si>
    <t>Department CSA</t>
  </si>
  <si>
    <t>3250 - Apparel Revenue</t>
  </si>
  <si>
    <t>4020 - SSMU Sponsorship</t>
  </si>
  <si>
    <t>4010 - DADF Sponsorhsip Revenue</t>
  </si>
  <si>
    <t>Department: CSAUS</t>
  </si>
  <si>
    <t xml:space="preserve">No External Revenue </t>
  </si>
  <si>
    <t>Department: CSUS</t>
  </si>
  <si>
    <t xml:space="preserve">External - Have not Submitted a budget </t>
  </si>
  <si>
    <t>Department: DESA</t>
  </si>
  <si>
    <t>Department: EASSA</t>
  </si>
  <si>
    <t>Department: ESA</t>
  </si>
  <si>
    <t>Have Not Allocated to GLAs</t>
  </si>
  <si>
    <t>Must update GLAs</t>
  </si>
  <si>
    <t>Department: GSA</t>
  </si>
  <si>
    <t>Department: GSFSSA</t>
  </si>
  <si>
    <t>Department: HSA</t>
  </si>
  <si>
    <t>Department: IDSSA</t>
  </si>
  <si>
    <t>Department: ISSA</t>
  </si>
  <si>
    <t>Department: JSSA</t>
  </si>
  <si>
    <t>DepartmentL: LAPSA</t>
  </si>
  <si>
    <t>Department: MESS</t>
  </si>
  <si>
    <t>External</t>
  </si>
  <si>
    <t>Department: MIRA</t>
  </si>
  <si>
    <t>3900 - AUS Revenue: Registration Fees (Events)</t>
  </si>
  <si>
    <t xml:space="preserve">4000 - Sponsorship Received </t>
  </si>
  <si>
    <t>Department: MPSA</t>
  </si>
  <si>
    <t>Department: MUGS</t>
  </si>
  <si>
    <t>Department: PSA</t>
  </si>
  <si>
    <t>Department: PSSA</t>
  </si>
  <si>
    <t>Department: RSUS</t>
  </si>
  <si>
    <t>Department: RUSS</t>
  </si>
  <si>
    <t>Depaertment: SLUM</t>
  </si>
  <si>
    <t xml:space="preserve">3450 - Sales: Samosa Sales </t>
  </si>
  <si>
    <t>Department: SSA</t>
  </si>
  <si>
    <t>Department: SUMS</t>
  </si>
  <si>
    <t>Department: QSSA</t>
  </si>
  <si>
    <t>Department: WIMESSA</t>
  </si>
  <si>
    <t>Have not submitted final copies</t>
  </si>
  <si>
    <t>10500 - Security</t>
  </si>
  <si>
    <t>9800 - Meals and Entertainment</t>
  </si>
  <si>
    <t>Department: CSA</t>
  </si>
  <si>
    <t>6350 - Misc. Events: Food: Samosas</t>
  </si>
  <si>
    <t>10310 - Websites</t>
  </si>
  <si>
    <t>9500 - Misc. Events: Drinks</t>
  </si>
  <si>
    <t>6300 - Journal Printing</t>
  </si>
  <si>
    <t>10300 - Promotional Expenses</t>
  </si>
  <si>
    <t>Have not submitted final or Proposed copies</t>
  </si>
  <si>
    <t>Have not allocated to GLAs</t>
  </si>
  <si>
    <t>Department : GSA</t>
  </si>
  <si>
    <t xml:space="preserve">Discredtionary Incidental Spending </t>
  </si>
  <si>
    <t xml:space="preserve">Have not submitted final copies </t>
  </si>
  <si>
    <t>9850 - Misc. events: Food</t>
  </si>
  <si>
    <t>Must Allocate to GLAs</t>
  </si>
  <si>
    <t>10103 - Performance/Musicians</t>
  </si>
  <si>
    <t>6800 - Apparel/accessories</t>
  </si>
  <si>
    <t xml:space="preserve">Have not submitted final copies - External </t>
  </si>
  <si>
    <t xml:space="preserve">Class </t>
  </si>
  <si>
    <t>Forecast(Expense Amount )</t>
  </si>
  <si>
    <t>Lower Confidence Bound(Expense Amount )</t>
  </si>
  <si>
    <t>Upper Confidence Bound(Expense Amount )</t>
  </si>
  <si>
    <t>Forecast(Revenue Amount )</t>
  </si>
  <si>
    <t>Lower Confidence Bound(Revenue Amount )</t>
  </si>
  <si>
    <t>Upper Confidence Bound(Revenue Amount )</t>
  </si>
  <si>
    <t>Department: SLUM</t>
  </si>
  <si>
    <t>3985 - Sales of Product Income</t>
  </si>
  <si>
    <t>Department: LAPSA</t>
  </si>
  <si>
    <t xml:space="preserve">2) The deficit is approximately equal to the departmenalt allcoation total of 33.5K </t>
  </si>
  <si>
    <t xml:space="preserve">1) The Excel forecase formlua was used to calculate the projections based on the data provided. This is not statistically rigerous; however, as more data is cllocted it will become increasingly so.  </t>
  </si>
  <si>
    <t xml:space="preserve">2) The amounts (for all years) have not been corrected for changes in the Consumer Price Index (CPI). </t>
  </si>
  <si>
    <t xml:space="preserve">1) A green highlight indicates the department is a joint association - they do not contribute any revenue. Likewise, their spending (for AUS purposes) is restricted to semesterly allocation obligations.  </t>
  </si>
  <si>
    <t xml:space="preserve">1.2 AUS Mission </t>
  </si>
  <si>
    <t xml:space="preserve">1.3 Background, Changes, Budget Building, Assumptions &amp; Limitations, Notes on Reading the Budget </t>
  </si>
  <si>
    <t xml:space="preserve">1.4 Statements on Priorities from Society Executives </t>
  </si>
  <si>
    <t>1.2 AUS Mission</t>
  </si>
  <si>
    <t>·       We will represent the beliefs of Arts students.</t>
  </si>
  <si>
    <t>·       We will build and promote an equitable and inclusive faculty.</t>
  </si>
  <si>
    <t xml:space="preserve">·       We will build and promote an equitable and inclusive association.  </t>
  </si>
  <si>
    <t>·       We encourage new opportunities for involvement for all students.</t>
  </si>
  <si>
    <t>·       We will be the most innovative and forward-thinking faulty association.</t>
  </si>
  <si>
    <t>·       We will improve campus life for Arts students.</t>
  </si>
  <si>
    <t>·       We will ensure professionalism and accountability in our dealings with students and their fees.</t>
  </si>
  <si>
    <t>·       We aspire to provide the most effective student and academic services.</t>
  </si>
  <si>
    <t>·       We seek to run dynamic and engaging events that enhance the Arts identity, promote equity and inclusion.</t>
  </si>
  <si>
    <t>·       We intend to embrace the fine arts and to be at the forefront of creating new opportunities for the arts at McGill.</t>
  </si>
  <si>
    <t>·       We aspire to be leaders in environmental policy.</t>
  </si>
  <si>
    <t>·       We aspire to create powerful bonds with other faculty associations.</t>
  </si>
  <si>
    <t>·       We will foster strong relationships with our departmental associations and empower them to realize the AUS’s shared vision.</t>
  </si>
  <si>
    <t>·       We will build strong institutions to ensure our progress is not lost.</t>
  </si>
  <si>
    <t>·       We will take risks in the pursuit of these ideals because Arts students deserve nothing less.</t>
  </si>
  <si>
    <t>·       We will make Arts students proud to call the Faculty of Arts theirs.</t>
  </si>
  <si>
    <t xml:space="preserve">1) Yearly, the AUS must pass a budget. This budget estimates revenues and expenses for the Fiscal Year (May 01, 2019 – April 30, 2020): allocating a specified amount of spending to each department/portfolio while estimating the total revenue each department/portfolio brings into AUS.  </t>
  </si>
  <si>
    <t xml:space="preserve">2) The budget is divided into sections – Portfolios, Departments and Compensation. As of this year, all portfolio/departments revenue and expenses are categorised into “Classes” and “General Ledger Accounts”. General Ledger Accounts indicate the specific nature/source (from a standardized list) of the respective revenue or expense stream, while Classes and Sub-Classes indicate which part of the organization is generating/spending that specific stream of revenue/expense. These changes make it possible to standardize expense/revenue categorization across the organization while simultaneously creating a capacity to locate the origin/destination transactions within AUS’s financial geography.  Furthermore, these categories have been standardized across the whole organization: in its arrangement and tracking categories, the budget is synchronized with AUS’s departments and AUS’s accounting software. This synchronization allows for real-time updates to the budget and three separate verification systems to ensure accuracy. </t>
  </si>
  <si>
    <t xml:space="preserve">3) The budget building process involves AUS executives and departments estimating total spending and revenue in their portfolios. These estimates are cross-referenced (as much as possible) with previous years’ spending. Likewise, executives and departments propose areas of priority in their portfolios and estimate (in consultation with the VP Finance) the financial implications of special initiatives to advance specific portfolio/departmental goals. These initial proposals on special initiatives and core operation are complied, aggregated and evaluated (for inclusion in the final proposed budget) relative to each-other. The proposed budged is presented to the FMC for approval. If approved, the final proposed budget is presented to Council for approval. If approved, the budget is administered over the course of the year.  </t>
  </si>
  <si>
    <t>5) When reading the budget, notes on the various highlights, formatting or portfolio/budget tab specific notes will be indicated on each page budget page. These notes will provide guidance on the interpretation of the budget.</t>
  </si>
  <si>
    <t>President:</t>
  </si>
  <si>
    <t xml:space="preserve">VP Internal: </t>
  </si>
  <si>
    <t xml:space="preserve">VP Finance: </t>
  </si>
  <si>
    <t xml:space="preserve">VP Academic: </t>
  </si>
  <si>
    <t xml:space="preserve">VP Communications: </t>
  </si>
  <si>
    <t xml:space="preserve">VP External: </t>
  </si>
  <si>
    <t xml:space="preserve">VP Services: </t>
  </si>
  <si>
    <t xml:space="preserve">VP Social: </t>
  </si>
  <si>
    <t>A major portion of the academic portfolio’s budget is allocated towards Peer Tutoring for Departmental Associations. This year, I am trying to make AUS Peer Tutoring more effective and flexible. One of the ways I plan on doing it is by creating a discretionary fund that the departments can tap into when there are tutoring requests for courses that aren’t included in the peer tutoring budgets submitted by the departments at the beginning of the semester. I plan on making the system more transparent and accountable by making submission of timesheets mandatory for all AUS peer tutors. This would ensure that the funds are disbursed to the tutors at the end of the semester in a resource-efficient manner. In addition to this, I have also allocated a significant amount in the portfolio budget to the “Experiential Learning Fund”, a resource that departments can tap into to finance career-advancing/ experiential learning-based events.</t>
  </si>
  <si>
    <t>I plan to use this budget to pay for my stipended and hourly employees. Moreover, much of this budget is used for operational purposes such as providing food at executive council meetings and printing/copying fees. Included in this budget is the money for an AUS retreat. The majority of this budget goes towards administrative costs: insurance and legal fees. The money allocated for special projects will be towards a yet to be determined initiative (ex. Conducting an environmental audit of the AUS or exploring the creation of an AUS application).</t>
  </si>
  <si>
    <t xml:space="preserve">Goals for VP Social portfolio budget: (1) ensure the efficient and sufficient operations of all events; (2) foster continuous growth of all events; (3) promote safety, harm-reduction, and values of AUS in all events; (4) focus upon sustainability and accessibility of all events (e.g. environmental by gold-certifying majority of events, financial with substantial increase in bursaries and ticket cost subsidizations, social by continuing to investigate and implement inclusive logistics); (5) prioritize the safety and well-being of all participants, staff, and organizers of all events through the continuous revision and subsequent implementation of the IRP; (6) improve interfaculty relations, and; (7) unrelated to events, but as VP Social I am taking on the responsibility of collaborating with the VP Academic to investigate solutions re: the OSD’s choice to no longer compensate student note-takers. </t>
  </si>
  <si>
    <t>This year, the Communications Portfolio is really excited to expand. Through the Fine Arts Council, our goal is to host more events on campus throughout the year, and have included new positions to fuel these projects from a marketing, financial and logistical standpoint. We are also in the process of securing permanent space on campus to showcase student art year-round. Through the Francophone Commission, we hope to increase our weekly general membership through increased promotion on our social media and listserv, as well as increased communication with Francophone groups on campus. With the help of our new Instagram, the Communications Portfolio aims to spotlight individual student and AUS exec involvement.</t>
  </si>
  <si>
    <t xml:space="preserve">The Finance portfolio’s primary responsibility is the prudent management of AUS’s finance. This means: (1) ensuring audits are completed yearly; (2) thorough, transparent, accountable and clear accounting and documentation records are kept for all the organization’s transactions; (3) that the AUS meets all of its tax and liability obligations in a timely manner; (4) that SNAX is well managed, and; (5) that AUS is deploying its funds as efficiently as possible. To accomplish the above, a budget initiatives was proposed and approved to improve restructure AUS’s accounting system (which will ensure timelier/cheaper audits + tax obligation fulfillment) and implement rigorous budget management systems. Furthermore, these improved budget management systems will allow the AUS to plan for multi-year projects by creating a standardized General Ledger Account system which allows for reliable comparisons of spending and revenue year-over-year. On SNAX, I will be working with the SNAX manager and assistant manager to collect data on traffic throughout the day (as well as product sales) and implement expanded payment methods – the date collected will be used to ensure the store is operating as efficiently as possible. I will support the Ethical Business Practices Commissioners to create an updated AUS policy on ethical business and sustainability. Moreover, I hope to work with the McGill Office of Sustainability to seek opportunities for joint funding between the SPF and AUIF. Finally, my ultimate focus for the year will be on implementing the updated budget management system and on collaborating with other AUS executives to create and implement more long-term services and opportunities for AUS students. </t>
  </si>
  <si>
    <t>The Vice-President External portfolio aims to enhance the career and post-graduate prospects of students in the Faculty of Arts by organizing the annual Graduate and Professional Schools Fair on November 6, 2019 and the Work Your BA series from January 22-January 31, 2020. The Work Your BA series will include fairs, workshops, panels and speaker events. Furthermore, the Mental Health AUS Committee aims to provide resources to ensure the wellbeing of arts students. The Arts Community Engagement Committee and the Commuter Support and Engagement Committee hopes to better the student life experience for on and off-campus student through events such as embrACE week and collaborations with other student groups. The budget is to ensure that the portfolio will carry out the events to ensure the best possible experience for all.</t>
  </si>
  <si>
    <t xml:space="preserve">1) Green highlights indicate joint departmental associations - they contribute no revenue, only semesterly payments are issued to them </t>
  </si>
  <si>
    <t xml:space="preserve">1) Full column yellow highlight indicates a new or noteworthy item; yellow highlighting restricted to them GLA column indicates discretionary spending. </t>
  </si>
  <si>
    <t xml:space="preserve">2) This FY, amortization has been added to the budget. Though it is not an operational expenses, it represents a liability for the organization and should be represented in the budgeting process. </t>
  </si>
  <si>
    <t xml:space="preserve">2) Full column yellow highlight indicates a new or noteworthy item; yellow highlighting restricted to them GLA column indicates discretionary spending. </t>
  </si>
  <si>
    <t xml:space="preserve">1) Peer Tutoring continues to be administered by the VP Academic, a Breakdown is found in "Stipends and Wages FY2020" </t>
  </si>
  <si>
    <t xml:space="preserve">3) FMC Spending will be allocated to GLAs when approved by the FMC. </t>
  </si>
  <si>
    <t xml:space="preserve">6) SNAX Wages are divided into two categories, 12.5 and 13/h wages. It is assumed that 12.5/h employees will work 70% of the time while 13/h will work up to 30% of the time. </t>
  </si>
  <si>
    <t xml:space="preserve">3) Departments highlighted in yellow have submitted proposed budgets, however, they have not categorized them into GLAs. </t>
  </si>
  <si>
    <t xml:space="preserve">4) Departments highlighted in red have not submitted any budget by the required deadline. </t>
  </si>
  <si>
    <t xml:space="preserve">5) Departments highlighted in organge do not collect any external revenue - they operate stritcly from FMC grants or departmetnal allocations. </t>
  </si>
  <si>
    <t>7.1 VP Communications' Budget Categorized into Sub-Class and GLAs</t>
  </si>
  <si>
    <t xml:space="preserve">1) 1% of total revenue is $10 522.32. In the Ontario public education system (off of which this budgeting system is based), this is the budget surplus and deficit compliance figure. </t>
  </si>
  <si>
    <t>3900 - AUS Revenues: Registration Fees</t>
  </si>
  <si>
    <t>Yearly allocation for legal consultation and litigation - increase to allow for MOA negotiation advice</t>
  </si>
  <si>
    <t xml:space="preserve">Work study reimbursements (projects WS18665) + last year outstanding payment </t>
  </si>
  <si>
    <t xml:space="preserve">Based on previous year projection - possible introduction of credit card machine and improved onecard (plus possible price increases) </t>
  </si>
  <si>
    <t xml:space="preserve"> Concession + ticket + advertising revenue. Tickets assume avg. 50% seat capacity is used. </t>
  </si>
  <si>
    <t xml:space="preserve">Incidental Expenses - allocated to GLAs at VP Finance discretion </t>
  </si>
  <si>
    <t xml:space="preserve">QuickBooks License - subscription </t>
  </si>
  <si>
    <t>Photographers and fundraising expenses</t>
  </si>
  <si>
    <t>Props, Sounds, Lighting, and Sets</t>
  </si>
  <si>
    <t>VP Academic: Textbook Lending</t>
  </si>
  <si>
    <t>Subject to Change after Departmental Consultation - allocated to GLAs upon approval by VPs Academic and Finance</t>
  </si>
  <si>
    <t>2) FAC has significant discretion over allocations.</t>
  </si>
  <si>
    <t xml:space="preserve">7) All yellow highlights indicate a new position; if the yellow highlight is restricted to the "Amounts" column, this indicates that the position is not new, only that the compensation structure has changed. </t>
  </si>
  <si>
    <t>Equity Commissioner</t>
  </si>
  <si>
    <t xml:space="preserve">Within the VP Internal portfolio, I seek to: (1) support departmental associations by financing their liquor permits; (2) host an orientation session to acquaint departmental associations with the AUS; (3) reward the accomplishments of departmental associations through the annual AUS Awards and Holiday Party celebrations; (4) invest in promotional materials to advertise the AUS and its opportunities; (5) maintain general upkeep of the AUS office space by paying for miscellaneous office supplies and expenses; (6) support FEARC in engaging first-year students in the Faculty of Arts through new events and initiatives; (7) enable AUSec to promote sustainability and environmental awareness within the AUS, and; (8) collaborate with other groups on campus, including SUS, to help raise the profile of the AUS and its departments. </t>
  </si>
  <si>
    <t xml:space="preserve">My goal for this budget proposal is to keep all existing services operational for the year while leaving room for the creation of future services in the Winter semester. </t>
  </si>
  <si>
    <t>“ At present our sympathy and our judgement are liable to be on different sides, which is a painful and paralysing state of mind…in the field of action…[we] will not be successful until [we] can pursue a definite objects with our feelings and intellects in tune” – John Maynard Keynes  (1926)</t>
  </si>
  <si>
    <t>"Public instiutions can reclaim their righful role as servants of the common good…they must get over the self-fulfilling fear of failure and realize that experimentation and trial and error (and error and error) are part of the learning process." - Mariana Mazzucato (2018)</t>
  </si>
  <si>
    <t xml:space="preserve">"Attending... means...chronicling how incommensurate elements hang together in a scene that bodies labor to be in (or to get through). In the expressivity of something coming into existence, bodies labor to literally fall into step with the pacing, the habits, the lines of attachment, the responsibilities shouldered, the sentience, of that things which has come into existance." - Kathleen Stewart (2009) </t>
  </si>
  <si>
    <t>VP Internal: AUSec</t>
  </si>
  <si>
    <t xml:space="preserve">To be allocated to GLAs at the discretion of the VP Internal and VP Finance </t>
  </si>
  <si>
    <t>9401 - Gifts/Cards</t>
  </si>
  <si>
    <t>VP Internal: Operations</t>
  </si>
  <si>
    <t>10100 - Payroll Expenses: Taxes</t>
  </si>
  <si>
    <t>Princeton Review + others</t>
  </si>
  <si>
    <t>4250 are enveloped for work study execs, 360 for VP Social Pay. The remaining 2040 are flexible</t>
  </si>
  <si>
    <t xml:space="preserve">4) All budgets make educated assumptions and predications about expenses and revenues. However, the following limitations and assumptions, and their potential inaccuracy, could have material impacts on the budget: 
•	It is assumed base fee revenue will not decrease between semesters. The budget anticipates no positive or negative change. 
•	No AUIF allocations (apart from the FAC allocation) have been included in the budget. If they are received, budgetary impact will be net-zero. 
•	BDA revenues and expenses are unknown (especially with changes in BDA venue) – this budget assumes, despite price increases last year, BDA will operate as a break-even operation. 
•	SNAX is assumed to generate a larger profit from last year. In previous years (between 2012 and 2018), SNAX’s revenue has grown year-over-year between 5-10%. Last year’s revenue reduction of 13.7% was a significant outlier. This year’s budget assumed growth of 17% (to return sales to the trend - and lightly above -ended in 2017) through sales expansion. Furthermore, the budget assumes expenses will grow by 6.3% from the previous year (congruent with previous years’ expense changes). 
•	Grad Ball and EPIC budgeting are not finalized – these are variable components of the budget. However, in consultation with the VP Social, both events assume profits will be generated. Grad Ball and Epic will generate $15 000.00 and $1500.00 profits respectively. 
•	The President’s budget assumes increased spending on legal consultation as a result of an upcoming MOA re-negotiation. 
•	The frosh profit is estimated from the June approved budget. It is assumed it will not be higher or lower than anticipated then. However, it should be noted, the   VP Social anticipates a higher net-profit because of lower than anticipated expenses. </t>
  </si>
  <si>
    <t>Department: RSUS: TUSA</t>
  </si>
  <si>
    <t>(blank)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</si>
</sst>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quot;$&quot;* #,##0.00_-;_-&quot;$&quot;* &quot;-&quot;??_-;_-@_-"/>
    <numFmt numFmtId="164" formatCode="_(&quot;$&quot;* #,##0.00_);_(&quot;$&quot;* \(#,##0.00\);_(&quot;$&quot;* &quot;-&quot;??_);_(@_)"/>
    <numFmt numFmtId="165" formatCode="_-&quot;$&quot;* #,##0.00_-;\-&quot;$&quot;* #,##0.00_-;_-&quot;$&quot;* &quot;-&quot;??_-;_-@"/>
    <numFmt numFmtId="166" formatCode="&quot;$&quot;#,##0.00"/>
  </numFmts>
  <fonts count="48">
    <font>
      <sz val="10"/>
      <color rgb="FF000000"/>
      <name val="Arial"/>
    </font>
    <font>
      <sz val="11"/>
      <color theme="1"/>
      <name val="Calibri"/>
      <family val="2"/>
      <scheme val="minor"/>
    </font>
    <font>
      <b/>
      <sz val="16"/>
      <color rgb="FF000000"/>
      <name val="Calibri"/>
      <family val="2"/>
    </font>
    <font>
      <sz val="11"/>
      <name val="Calibri"/>
      <family val="2"/>
    </font>
    <font>
      <b/>
      <sz val="11"/>
      <color rgb="FF000000"/>
      <name val="Calibri"/>
      <family val="2"/>
    </font>
    <font>
      <sz val="11"/>
      <color rgb="FF000000"/>
      <name val="Calibri"/>
      <family val="2"/>
    </font>
    <font>
      <b/>
      <sz val="11"/>
      <name val="Calibri"/>
      <family val="2"/>
    </font>
    <font>
      <sz val="10"/>
      <name val="Arial"/>
      <family val="2"/>
    </font>
    <font>
      <sz val="10"/>
      <color rgb="FF000000"/>
      <name val="Arial"/>
      <family val="2"/>
    </font>
    <font>
      <sz val="10"/>
      <color rgb="FF000000"/>
      <name val="Calibri"/>
      <family val="2"/>
    </font>
    <font>
      <sz val="10"/>
      <color rgb="FF000000"/>
      <name val="Arial"/>
      <family val="2"/>
    </font>
    <font>
      <b/>
      <sz val="11"/>
      <color theme="1"/>
      <name val="Calibri"/>
      <family val="2"/>
      <scheme val="minor"/>
    </font>
    <font>
      <b/>
      <sz val="16"/>
      <color theme="1"/>
      <name val="Calibri"/>
      <family val="2"/>
      <scheme val="minor"/>
    </font>
    <font>
      <i/>
      <sz val="11"/>
      <color theme="1"/>
      <name val="Calibri"/>
      <family val="2"/>
      <scheme val="minor"/>
    </font>
    <font>
      <b/>
      <sz val="12"/>
      <color theme="1"/>
      <name val="Calibri"/>
      <family val="2"/>
      <scheme val="minor"/>
    </font>
    <font>
      <sz val="11"/>
      <color rgb="FF000000"/>
      <name val="Calibri "/>
    </font>
    <font>
      <i/>
      <sz val="11"/>
      <color rgb="FF000000"/>
      <name val="Times New Roman"/>
      <family val="1"/>
    </font>
    <font>
      <b/>
      <i/>
      <sz val="20"/>
      <color rgb="FF000000"/>
      <name val="Calibri"/>
      <family val="2"/>
    </font>
    <font>
      <b/>
      <sz val="20"/>
      <name val="Calibri"/>
      <family val="2"/>
    </font>
    <font>
      <b/>
      <i/>
      <sz val="20"/>
      <color rgb="FF000000"/>
      <name val="Calibri"/>
      <family val="2"/>
      <scheme val="minor"/>
    </font>
    <font>
      <sz val="11"/>
      <color rgb="FF000000"/>
      <name val="Calibri"/>
      <family val="2"/>
      <scheme val="minor"/>
    </font>
    <font>
      <b/>
      <sz val="20"/>
      <name val="Calibri"/>
      <family val="2"/>
      <scheme val="minor"/>
    </font>
    <font>
      <b/>
      <sz val="11"/>
      <color rgb="FF000000"/>
      <name val="Calibri"/>
      <family val="2"/>
      <scheme val="minor"/>
    </font>
    <font>
      <b/>
      <sz val="16"/>
      <color rgb="FF000000"/>
      <name val="Calibri"/>
      <family val="2"/>
      <scheme val="minor"/>
    </font>
    <font>
      <sz val="12"/>
      <color rgb="FF000000"/>
      <name val="Calibri"/>
      <family val="2"/>
      <scheme val="minor"/>
    </font>
    <font>
      <sz val="12"/>
      <name val="Calibri"/>
      <family val="2"/>
      <scheme val="minor"/>
    </font>
    <font>
      <sz val="11"/>
      <color theme="0"/>
      <name val="Calibri"/>
      <family val="2"/>
      <scheme val="minor"/>
    </font>
    <font>
      <sz val="17"/>
      <color theme="0"/>
      <name val="Calibri"/>
      <family val="2"/>
      <scheme val="minor"/>
    </font>
    <font>
      <sz val="11"/>
      <color rgb="FF0B744D"/>
      <name val="Calibri"/>
      <family val="2"/>
      <scheme val="minor"/>
    </font>
    <font>
      <sz val="72"/>
      <color theme="0"/>
      <name val="Calibri Light"/>
      <family val="2"/>
      <scheme val="major"/>
    </font>
    <font>
      <sz val="11"/>
      <color theme="1"/>
      <name val="Calibri"/>
      <family val="2"/>
    </font>
    <font>
      <i/>
      <sz val="10"/>
      <color rgb="FF000000"/>
      <name val="Arial"/>
      <family val="2"/>
    </font>
    <font>
      <b/>
      <sz val="10"/>
      <color rgb="FF000000"/>
      <name val="Arial"/>
      <family val="2"/>
    </font>
    <font>
      <b/>
      <sz val="11"/>
      <color rgb="FF000000"/>
      <name val="Arial"/>
      <family val="2"/>
    </font>
    <font>
      <b/>
      <sz val="12"/>
      <color rgb="FF000000"/>
      <name val="Arial"/>
      <family val="2"/>
    </font>
    <font>
      <b/>
      <sz val="14"/>
      <color rgb="FF000000"/>
      <name val="Arial"/>
      <family val="2"/>
    </font>
    <font>
      <i/>
      <sz val="9"/>
      <color rgb="FF000000"/>
      <name val="Arial"/>
      <family val="2"/>
    </font>
    <font>
      <sz val="11"/>
      <color rgb="FF000000"/>
      <name val="Arial"/>
      <family val="2"/>
    </font>
    <font>
      <b/>
      <sz val="18"/>
      <color rgb="FF000000"/>
      <name val="Arial"/>
      <family val="2"/>
    </font>
    <font>
      <b/>
      <sz val="10"/>
      <color rgb="FF000000"/>
      <name val="Calibri"/>
      <family val="2"/>
    </font>
    <font>
      <b/>
      <i/>
      <sz val="20"/>
      <color rgb="FF000000"/>
      <name val="Arial"/>
      <family val="2"/>
    </font>
    <font>
      <b/>
      <sz val="20"/>
      <color rgb="FF000000"/>
      <name val="Arial"/>
      <family val="2"/>
    </font>
    <font>
      <sz val="11"/>
      <name val="Calibri"/>
      <family val="2"/>
      <scheme val="minor"/>
    </font>
    <font>
      <sz val="9"/>
      <color indexed="81"/>
      <name val="Tahoma"/>
      <family val="2"/>
    </font>
    <font>
      <b/>
      <sz val="9"/>
      <color indexed="81"/>
      <name val="Tahoma"/>
      <family val="2"/>
    </font>
    <font>
      <sz val="10"/>
      <color rgb="FFFF0000"/>
      <name val="Arial"/>
      <family val="2"/>
    </font>
    <font>
      <b/>
      <sz val="10"/>
      <name val="Arial"/>
      <family val="2"/>
    </font>
    <font>
      <u/>
      <sz val="10"/>
      <color theme="10"/>
      <name val="Arial"/>
      <family val="2"/>
    </font>
  </fonts>
  <fills count="20">
    <fill>
      <patternFill patternType="none"/>
    </fill>
    <fill>
      <patternFill patternType="gray125"/>
    </fill>
    <fill>
      <patternFill patternType="solid">
        <fgColor rgb="FFC9DAF8"/>
        <bgColor rgb="FFC9DAF8"/>
      </patternFill>
    </fill>
    <fill>
      <patternFill patternType="solid">
        <fgColor rgb="FFF4CCCC"/>
        <bgColor rgb="FFF4CCCC"/>
      </patternFill>
    </fill>
    <fill>
      <patternFill patternType="solid">
        <fgColor rgb="FFFFFF00"/>
        <bgColor indexed="64"/>
      </patternFill>
    </fill>
    <fill>
      <patternFill patternType="solid">
        <fgColor rgb="FFF5ABAA"/>
        <bgColor indexed="64"/>
      </patternFill>
    </fill>
    <fill>
      <patternFill patternType="solid">
        <fgColor rgb="FFF5ABAA"/>
        <bgColor rgb="FFC0C0C0"/>
      </patternFill>
    </fill>
    <fill>
      <patternFill patternType="solid">
        <fgColor rgb="FFF5ABAA"/>
        <bgColor rgb="FFFFFF00"/>
      </patternFill>
    </fill>
    <fill>
      <patternFill patternType="solid">
        <fgColor theme="4" tint="0.79998168889431442"/>
        <bgColor indexed="64"/>
      </patternFill>
    </fill>
    <fill>
      <patternFill patternType="solid">
        <fgColor theme="4" tint="0.79998168889431442"/>
        <bgColor rgb="FFFFFFCC"/>
      </patternFill>
    </fill>
    <fill>
      <patternFill patternType="solid">
        <fgColor theme="4" tint="0.79998168889431442"/>
        <bgColor rgb="FFFFFF00"/>
      </patternFill>
    </fill>
    <fill>
      <patternFill patternType="solid">
        <fgColor rgb="FFE1BDFF"/>
        <bgColor indexed="64"/>
      </patternFill>
    </fill>
    <fill>
      <patternFill patternType="solid">
        <fgColor rgb="FFE1BDFF"/>
        <bgColor rgb="FFFFCC00"/>
      </patternFill>
    </fill>
    <fill>
      <patternFill patternType="solid">
        <fgColor rgb="FF217346"/>
        <bgColor indexed="64"/>
      </patternFill>
    </fill>
    <fill>
      <patternFill patternType="solid">
        <fgColor rgb="FFFFFF99"/>
        <bgColor indexed="64"/>
      </patternFill>
    </fill>
    <fill>
      <patternFill patternType="solid">
        <fgColor theme="0" tint="-4.9989318521683403E-2"/>
        <bgColor indexed="64"/>
      </patternFill>
    </fill>
    <fill>
      <patternFill patternType="solid">
        <fgColor rgb="FF339966"/>
        <bgColor indexed="64"/>
      </patternFill>
    </fill>
    <fill>
      <patternFill patternType="solid">
        <fgColor rgb="FF92D050"/>
        <bgColor indexed="64"/>
      </patternFill>
    </fill>
    <fill>
      <patternFill patternType="solid">
        <fgColor rgb="FFFFC000"/>
        <bgColor indexed="64"/>
      </patternFill>
    </fill>
    <fill>
      <patternFill patternType="solid">
        <fgColor rgb="FFFF0000"/>
        <bgColor indexed="64"/>
      </patternFill>
    </fill>
  </fills>
  <borders count="23">
    <border>
      <left/>
      <right/>
      <top/>
      <bottom/>
      <diagonal/>
    </border>
    <border>
      <left style="thin">
        <color rgb="FF000000"/>
      </left>
      <right style="thin">
        <color rgb="FF000000"/>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style="thin">
        <color rgb="FFB2B2B2"/>
      </left>
      <right style="thin">
        <color rgb="FFB2B2B2"/>
      </right>
      <top style="thin">
        <color rgb="FFB2B2B2"/>
      </top>
      <bottom style="thin">
        <color rgb="FFB2B2B2"/>
      </bottom>
      <diagonal/>
    </border>
    <border>
      <left style="thick">
        <color rgb="FFF4B183"/>
      </left>
      <right style="thick">
        <color rgb="FFF4B183"/>
      </right>
      <top style="thick">
        <color rgb="FFF4B183"/>
      </top>
      <bottom style="thick">
        <color rgb="FFF4B183"/>
      </bottom>
      <diagonal/>
    </border>
    <border>
      <left/>
      <right/>
      <top style="thin">
        <color rgb="FF000000"/>
      </top>
      <bottom style="double">
        <color indexed="64"/>
      </bottom>
      <diagonal/>
    </border>
    <border>
      <left/>
      <right/>
      <top style="thin">
        <color indexed="64"/>
      </top>
      <bottom/>
      <diagonal/>
    </border>
    <border>
      <left style="thin">
        <color indexed="64"/>
      </left>
      <right style="thin">
        <color rgb="FF000000"/>
      </right>
      <top style="thin">
        <color rgb="FF000000"/>
      </top>
      <bottom/>
      <diagonal/>
    </border>
    <border>
      <left style="thin">
        <color indexed="64"/>
      </left>
      <right/>
      <top/>
      <bottom style="thin">
        <color rgb="FF000000"/>
      </bottom>
      <diagonal/>
    </border>
  </borders>
  <cellStyleXfs count="15">
    <xf numFmtId="0" fontId="0" fillId="0" borderId="0"/>
    <xf numFmtId="44" fontId="10" fillId="0" borderId="0" applyFont="0" applyFill="0" applyBorder="0" applyAlignment="0" applyProtection="0"/>
    <xf numFmtId="0" fontId="8" fillId="0" borderId="5"/>
    <xf numFmtId="0" fontId="1" fillId="0" borderId="5"/>
    <xf numFmtId="0" fontId="27" fillId="13" borderId="5" applyNumberFormat="0" applyProtection="0">
      <alignment horizontal="left" wrapText="1" indent="4"/>
    </xf>
    <xf numFmtId="0" fontId="28" fillId="13" borderId="5" applyNumberFormat="0" applyProtection="0">
      <alignment horizontal="left" wrapText="1" indent="4"/>
    </xf>
    <xf numFmtId="0" fontId="29" fillId="13" borderId="5" applyNumberFormat="0" applyBorder="0" applyProtection="0">
      <alignment horizontal="left" indent="1"/>
    </xf>
    <xf numFmtId="0" fontId="30" fillId="0" borderId="5"/>
    <xf numFmtId="0" fontId="1" fillId="14" borderId="17"/>
    <xf numFmtId="0" fontId="1" fillId="15" borderId="5"/>
    <xf numFmtId="0" fontId="26" fillId="16" borderId="5" applyNumberFormat="0" applyBorder="0" applyProtection="0"/>
    <xf numFmtId="0" fontId="1" fillId="15" borderId="18"/>
    <xf numFmtId="0" fontId="1" fillId="0" borderId="5"/>
    <xf numFmtId="0" fontId="26" fillId="0" borderId="5"/>
    <xf numFmtId="0" fontId="47" fillId="0" borderId="0" applyNumberFormat="0" applyFill="0" applyBorder="0" applyAlignment="0" applyProtection="0"/>
  </cellStyleXfs>
  <cellXfs count="334">
    <xf numFmtId="0" fontId="0" fillId="0" borderId="0" xfId="0" applyFont="1" applyAlignment="1"/>
    <xf numFmtId="0" fontId="2" fillId="2" borderId="1" xfId="0" applyFont="1" applyFill="1" applyBorder="1" applyAlignment="1"/>
    <xf numFmtId="0" fontId="3" fillId="2" borderId="2" xfId="0" applyFont="1" applyFill="1" applyBorder="1" applyAlignment="1"/>
    <xf numFmtId="0" fontId="4" fillId="2" borderId="1" xfId="0" applyFont="1" applyFill="1" applyBorder="1" applyAlignment="1"/>
    <xf numFmtId="0" fontId="4" fillId="2" borderId="3" xfId="0" applyFont="1" applyFill="1" applyBorder="1" applyAlignment="1"/>
    <xf numFmtId="0" fontId="6" fillId="0" borderId="1" xfId="0" applyFont="1" applyBorder="1" applyAlignment="1"/>
    <xf numFmtId="164" fontId="5" fillId="0" borderId="4" xfId="0" applyNumberFormat="1" applyFont="1" applyBorder="1"/>
    <xf numFmtId="0" fontId="5" fillId="2" borderId="1" xfId="0" applyFont="1" applyFill="1" applyBorder="1" applyAlignment="1"/>
    <xf numFmtId="164" fontId="5" fillId="0" borderId="4" xfId="0" applyNumberFormat="1" applyFont="1" applyBorder="1" applyAlignment="1"/>
    <xf numFmtId="164" fontId="3" fillId="0" borderId="3" xfId="0" applyNumberFormat="1" applyFont="1" applyBorder="1" applyAlignment="1"/>
    <xf numFmtId="0" fontId="2" fillId="3" borderId="1" xfId="0" applyFont="1" applyFill="1" applyBorder="1" applyAlignment="1"/>
    <xf numFmtId="0" fontId="3" fillId="3" borderId="3" xfId="0" applyFont="1" applyFill="1" applyBorder="1" applyAlignment="1"/>
    <xf numFmtId="0" fontId="4" fillId="3" borderId="1" xfId="0" applyFont="1" applyFill="1" applyBorder="1" applyAlignment="1"/>
    <xf numFmtId="0" fontId="4" fillId="3" borderId="3" xfId="0" applyFont="1" applyFill="1" applyBorder="1" applyAlignment="1"/>
    <xf numFmtId="164" fontId="3" fillId="2" borderId="3" xfId="0" applyNumberFormat="1" applyFont="1" applyFill="1" applyBorder="1" applyAlignment="1"/>
    <xf numFmtId="165" fontId="5" fillId="0" borderId="4" xfId="0" applyNumberFormat="1" applyFont="1" applyBorder="1" applyAlignment="1">
      <alignment horizontal="right"/>
    </xf>
    <xf numFmtId="0" fontId="5" fillId="3" borderId="1" xfId="0" applyFont="1" applyFill="1" applyBorder="1" applyAlignment="1"/>
    <xf numFmtId="0" fontId="5" fillId="0" borderId="4" xfId="0" applyFont="1" applyBorder="1" applyAlignment="1"/>
    <xf numFmtId="165" fontId="5" fillId="0" borderId="4" xfId="0" applyNumberFormat="1" applyFont="1" applyBorder="1"/>
    <xf numFmtId="164" fontId="5" fillId="3" borderId="3" xfId="0" applyNumberFormat="1" applyFont="1" applyFill="1" applyBorder="1" applyAlignment="1">
      <alignment horizontal="right"/>
    </xf>
    <xf numFmtId="164" fontId="7" fillId="0" borderId="0" xfId="0" applyNumberFormat="1" applyFont="1"/>
    <xf numFmtId="0" fontId="12" fillId="0" borderId="0" xfId="0" applyFont="1"/>
    <xf numFmtId="0" fontId="0" fillId="0" borderId="0" xfId="0"/>
    <xf numFmtId="0" fontId="0" fillId="0" borderId="0" xfId="0" applyFont="1"/>
    <xf numFmtId="0" fontId="12" fillId="0" borderId="6" xfId="0" applyFont="1" applyBorder="1"/>
    <xf numFmtId="0" fontId="11" fillId="0" borderId="7" xfId="0" applyFont="1" applyBorder="1" applyAlignment="1">
      <alignment horizontal="center"/>
    </xf>
    <xf numFmtId="0" fontId="11" fillId="0" borderId="8" xfId="0" applyFont="1" applyBorder="1"/>
    <xf numFmtId="0" fontId="11" fillId="0" borderId="6" xfId="0" applyFont="1" applyBorder="1"/>
    <xf numFmtId="0" fontId="0" fillId="0" borderId="6" xfId="0" applyBorder="1"/>
    <xf numFmtId="0" fontId="11" fillId="0" borderId="9" xfId="0" applyFont="1" applyBorder="1"/>
    <xf numFmtId="0" fontId="13" fillId="0" borderId="0" xfId="0" applyFont="1"/>
    <xf numFmtId="0" fontId="0" fillId="0" borderId="10" xfId="0" applyBorder="1"/>
    <xf numFmtId="0" fontId="0" fillId="0" borderId="11" xfId="0" applyBorder="1"/>
    <xf numFmtId="0" fontId="0" fillId="0" borderId="9" xfId="0" applyBorder="1"/>
    <xf numFmtId="0" fontId="0" fillId="0" borderId="0" xfId="0" applyFont="1" applyAlignment="1">
      <alignment horizontal="left" indent="1"/>
    </xf>
    <xf numFmtId="44" fontId="0" fillId="0" borderId="10" xfId="0" applyNumberFormat="1" applyFont="1" applyBorder="1" applyAlignment="1"/>
    <xf numFmtId="44" fontId="0" fillId="0" borderId="10" xfId="0" applyNumberFormat="1" applyBorder="1"/>
    <xf numFmtId="44" fontId="0" fillId="4" borderId="10" xfId="0" applyNumberFormat="1" applyFont="1" applyFill="1" applyBorder="1" applyAlignment="1"/>
    <xf numFmtId="0" fontId="14" fillId="0" borderId="6" xfId="0" applyFont="1" applyBorder="1"/>
    <xf numFmtId="2" fontId="0" fillId="0" borderId="0" xfId="0" applyNumberFormat="1"/>
    <xf numFmtId="44" fontId="0" fillId="0" borderId="0" xfId="0" applyNumberFormat="1"/>
    <xf numFmtId="2" fontId="0" fillId="0" borderId="10" xfId="0" applyNumberFormat="1" applyBorder="1"/>
    <xf numFmtId="44" fontId="0" fillId="0" borderId="7" xfId="0" applyNumberFormat="1" applyBorder="1"/>
    <xf numFmtId="0" fontId="0" fillId="0" borderId="7" xfId="0" applyBorder="1"/>
    <xf numFmtId="0" fontId="0" fillId="4" borderId="0" xfId="0" applyFill="1" applyAlignment="1">
      <alignment horizontal="left" indent="1"/>
    </xf>
    <xf numFmtId="0" fontId="13" fillId="0" borderId="0" xfId="0" applyFont="1" applyAlignment="1">
      <alignment horizontal="left"/>
    </xf>
    <xf numFmtId="0" fontId="5" fillId="0" borderId="0" xfId="0" applyFont="1" applyAlignment="1">
      <alignment horizontal="left" indent="1"/>
    </xf>
    <xf numFmtId="44" fontId="5" fillId="0" borderId="10" xfId="0" applyNumberFormat="1" applyFont="1" applyBorder="1" applyAlignment="1"/>
    <xf numFmtId="0" fontId="5" fillId="0" borderId="5" xfId="0" applyFont="1" applyFill="1" applyBorder="1" applyAlignment="1">
      <alignment horizontal="left" indent="1"/>
    </xf>
    <xf numFmtId="0" fontId="5" fillId="0" borderId="5" xfId="0" applyFont="1" applyFill="1" applyBorder="1" applyAlignment="1"/>
    <xf numFmtId="0" fontId="4" fillId="0" borderId="5" xfId="0" applyFont="1" applyFill="1" applyBorder="1" applyAlignment="1"/>
    <xf numFmtId="2" fontId="0" fillId="0" borderId="7" xfId="0" applyNumberFormat="1" applyBorder="1"/>
    <xf numFmtId="0" fontId="0" fillId="0" borderId="0" xfId="0" applyAlignment="1">
      <alignment horizontal="left" indent="1"/>
    </xf>
    <xf numFmtId="0" fontId="13" fillId="0" borderId="6" xfId="0" applyFont="1" applyBorder="1" applyAlignment="1">
      <alignment horizontal="left"/>
    </xf>
    <xf numFmtId="0" fontId="15" fillId="0" borderId="0" xfId="0" applyFont="1" applyAlignment="1">
      <alignment horizontal="left" vertical="center" wrapText="1" indent="1"/>
    </xf>
    <xf numFmtId="44" fontId="15" fillId="0" borderId="10" xfId="0" applyNumberFormat="1" applyFont="1" applyBorder="1" applyAlignment="1"/>
    <xf numFmtId="0" fontId="15" fillId="0" borderId="0" xfId="0" applyFont="1" applyAlignment="1">
      <alignment horizontal="left" indent="1"/>
    </xf>
    <xf numFmtId="0" fontId="15" fillId="4" borderId="0" xfId="0" applyFont="1" applyFill="1" applyAlignment="1">
      <alignment horizontal="left" indent="1"/>
    </xf>
    <xf numFmtId="44" fontId="15" fillId="4" borderId="10" xfId="0" applyNumberFormat="1" applyFont="1" applyFill="1" applyBorder="1" applyAlignment="1"/>
    <xf numFmtId="44" fontId="15" fillId="4" borderId="10" xfId="1" applyFont="1" applyFill="1" applyBorder="1" applyAlignment="1"/>
    <xf numFmtId="0" fontId="16" fillId="0" borderId="0" xfId="0" applyFont="1" applyFill="1" applyAlignment="1">
      <alignment horizontal="left"/>
    </xf>
    <xf numFmtId="0" fontId="16" fillId="0" borderId="6" xfId="0" applyFont="1" applyFill="1" applyBorder="1" applyAlignment="1">
      <alignment horizontal="left"/>
    </xf>
    <xf numFmtId="0" fontId="7" fillId="0" borderId="0" xfId="0" applyFont="1" applyAlignment="1">
      <alignment horizontal="left" wrapText="1" indent="1"/>
    </xf>
    <xf numFmtId="166" fontId="5" fillId="0" borderId="10" xfId="0" applyNumberFormat="1" applyFont="1" applyBorder="1" applyAlignment="1">
      <alignment wrapText="1"/>
    </xf>
    <xf numFmtId="0" fontId="5" fillId="4" borderId="0" xfId="0" applyFont="1" applyFill="1" applyAlignment="1">
      <alignment horizontal="left" wrapText="1" indent="1"/>
    </xf>
    <xf numFmtId="166" fontId="5" fillId="4" borderId="10" xfId="0" applyNumberFormat="1" applyFont="1" applyFill="1" applyBorder="1" applyAlignment="1">
      <alignment wrapText="1"/>
    </xf>
    <xf numFmtId="166" fontId="7" fillId="0" borderId="10" xfId="0" applyNumberFormat="1" applyFont="1" applyBorder="1" applyAlignment="1">
      <alignment wrapText="1"/>
    </xf>
    <xf numFmtId="0" fontId="3" fillId="0" borderId="0" xfId="0" applyFont="1" applyAlignment="1">
      <alignment horizontal="left" wrapText="1" indent="1"/>
    </xf>
    <xf numFmtId="166" fontId="3" fillId="0" borderId="10" xfId="0" applyNumberFormat="1" applyFont="1" applyBorder="1" applyAlignment="1">
      <alignment wrapText="1"/>
    </xf>
    <xf numFmtId="166" fontId="0" fillId="0" borderId="10" xfId="0" applyNumberFormat="1" applyBorder="1"/>
    <xf numFmtId="0" fontId="13" fillId="0" borderId="6" xfId="0" applyFont="1" applyBorder="1"/>
    <xf numFmtId="44" fontId="0" fillId="4" borderId="10" xfId="0" applyNumberFormat="1" applyFill="1" applyBorder="1"/>
    <xf numFmtId="0" fontId="17" fillId="0" borderId="5" xfId="0" applyFont="1" applyFill="1" applyBorder="1"/>
    <xf numFmtId="0" fontId="0" fillId="0" borderId="0" xfId="0" applyFont="1" applyFill="1" applyAlignment="1"/>
    <xf numFmtId="0" fontId="18" fillId="0" borderId="5" xfId="0" applyFont="1" applyFill="1" applyBorder="1"/>
    <xf numFmtId="0" fontId="5" fillId="0" borderId="5" xfId="0" applyFont="1" applyFill="1" applyBorder="1"/>
    <xf numFmtId="0" fontId="4" fillId="5" borderId="0" xfId="0" applyFont="1" applyFill="1" applyAlignment="1"/>
    <xf numFmtId="0" fontId="2" fillId="6" borderId="4" xfId="0" applyFont="1" applyFill="1" applyBorder="1"/>
    <xf numFmtId="0" fontId="4" fillId="6" borderId="4" xfId="0" applyFont="1" applyFill="1" applyBorder="1"/>
    <xf numFmtId="0" fontId="5" fillId="7" borderId="4" xfId="0" applyFont="1" applyFill="1" applyBorder="1"/>
    <xf numFmtId="0" fontId="4" fillId="8" borderId="0" xfId="0" applyFont="1" applyFill="1" applyAlignment="1"/>
    <xf numFmtId="0" fontId="2" fillId="9" borderId="4" xfId="0" applyFont="1" applyFill="1" applyBorder="1"/>
    <xf numFmtId="0" fontId="4" fillId="9" borderId="12" xfId="0" applyFont="1" applyFill="1" applyBorder="1"/>
    <xf numFmtId="0" fontId="4" fillId="9" borderId="4" xfId="0" applyFont="1" applyFill="1" applyBorder="1"/>
    <xf numFmtId="0" fontId="5" fillId="0" borderId="0" xfId="0" applyFont="1" applyAlignment="1"/>
    <xf numFmtId="0" fontId="5" fillId="4" borderId="13" xfId="0" applyFont="1" applyFill="1" applyBorder="1" applyAlignment="1"/>
    <xf numFmtId="0" fontId="5" fillId="0" borderId="4" xfId="0" applyFont="1" applyBorder="1"/>
    <xf numFmtId="0" fontId="5" fillId="0" borderId="13" xfId="0" applyFont="1" applyBorder="1" applyAlignment="1"/>
    <xf numFmtId="0" fontId="5" fillId="0" borderId="13" xfId="0" applyFont="1" applyFill="1" applyBorder="1" applyAlignment="1"/>
    <xf numFmtId="0" fontId="5" fillId="0" borderId="1" xfId="0" applyFont="1" applyBorder="1"/>
    <xf numFmtId="0" fontId="5" fillId="0" borderId="12" xfId="0" applyFont="1" applyBorder="1"/>
    <xf numFmtId="0" fontId="5" fillId="4" borderId="4" xfId="0" applyFont="1" applyFill="1" applyBorder="1"/>
    <xf numFmtId="0" fontId="5" fillId="4" borderId="12" xfId="0" applyFont="1" applyFill="1" applyBorder="1"/>
    <xf numFmtId="0" fontId="2" fillId="12" borderId="4" xfId="0" applyFont="1" applyFill="1" applyBorder="1"/>
    <xf numFmtId="0" fontId="5" fillId="0" borderId="14" xfId="0" applyFont="1" applyFill="1" applyBorder="1" applyAlignment="1"/>
    <xf numFmtId="0" fontId="9" fillId="0" borderId="0" xfId="0" applyFont="1" applyFill="1" applyAlignment="1"/>
    <xf numFmtId="0" fontId="9" fillId="0" borderId="5" xfId="0" applyFont="1" applyFill="1" applyBorder="1"/>
    <xf numFmtId="17" fontId="9" fillId="0" borderId="5" xfId="0" applyNumberFormat="1" applyFont="1" applyFill="1" applyBorder="1"/>
    <xf numFmtId="0" fontId="9" fillId="0" borderId="0" xfId="0" applyFont="1" applyAlignment="1"/>
    <xf numFmtId="0" fontId="9" fillId="5" borderId="0" xfId="0" applyFont="1" applyFill="1" applyAlignment="1"/>
    <xf numFmtId="165" fontId="9" fillId="0" borderId="4" xfId="0" applyNumberFormat="1" applyFont="1" applyBorder="1"/>
    <xf numFmtId="0" fontId="9" fillId="0" borderId="4" xfId="0" applyFont="1" applyBorder="1"/>
    <xf numFmtId="0" fontId="9" fillId="7" borderId="4" xfId="0" applyFont="1" applyFill="1" applyBorder="1"/>
    <xf numFmtId="165" fontId="9" fillId="7" borderId="4" xfId="0" applyNumberFormat="1" applyFont="1" applyFill="1" applyBorder="1"/>
    <xf numFmtId="0" fontId="9" fillId="8" borderId="4" xfId="0" applyFont="1" applyFill="1" applyBorder="1"/>
    <xf numFmtId="165" fontId="9" fillId="4" borderId="4" xfId="0" applyNumberFormat="1" applyFont="1" applyFill="1" applyBorder="1"/>
    <xf numFmtId="0" fontId="9" fillId="4" borderId="4" xfId="0" applyFont="1" applyFill="1" applyBorder="1"/>
    <xf numFmtId="165" fontId="9" fillId="0" borderId="12" xfId="0" applyNumberFormat="1" applyFont="1" applyBorder="1"/>
    <xf numFmtId="0" fontId="9" fillId="0" borderId="12" xfId="0" applyFont="1" applyBorder="1"/>
    <xf numFmtId="165" fontId="9" fillId="0" borderId="14" xfId="0" applyNumberFormat="1" applyFont="1" applyFill="1" applyBorder="1" applyAlignment="1"/>
    <xf numFmtId="0" fontId="9" fillId="8" borderId="0" xfId="0" applyFont="1" applyFill="1" applyAlignment="1"/>
    <xf numFmtId="0" fontId="9" fillId="10" borderId="4" xfId="0" applyFont="1" applyFill="1" applyBorder="1"/>
    <xf numFmtId="165" fontId="9" fillId="10" borderId="4" xfId="0" applyNumberFormat="1" applyFont="1" applyFill="1" applyBorder="1"/>
    <xf numFmtId="0" fontId="9" fillId="11" borderId="0" xfId="0" applyFont="1" applyFill="1" applyAlignment="1"/>
    <xf numFmtId="165" fontId="9" fillId="12" borderId="4" xfId="0" applyNumberFormat="1" applyFont="1" applyFill="1" applyBorder="1"/>
    <xf numFmtId="0" fontId="9" fillId="12" borderId="4" xfId="0" applyFont="1" applyFill="1" applyBorder="1"/>
    <xf numFmtId="44" fontId="9" fillId="0" borderId="13" xfId="0" applyNumberFormat="1" applyFont="1" applyBorder="1" applyAlignment="1"/>
    <xf numFmtId="165" fontId="9" fillId="0" borderId="1" xfId="0" applyNumberFormat="1" applyFont="1" applyBorder="1"/>
    <xf numFmtId="0" fontId="9" fillId="0" borderId="12" xfId="0" applyFont="1" applyBorder="1" applyAlignment="1">
      <alignment wrapText="1"/>
    </xf>
    <xf numFmtId="0" fontId="17" fillId="0" borderId="5" xfId="0" applyFont="1" applyFill="1" applyBorder="1" applyAlignment="1">
      <alignment vertical="center"/>
    </xf>
    <xf numFmtId="44" fontId="0" fillId="0" borderId="0" xfId="0" applyNumberFormat="1" applyFont="1" applyAlignment="1"/>
    <xf numFmtId="0" fontId="5" fillId="4" borderId="0" xfId="0" applyFont="1" applyFill="1" applyAlignment="1"/>
    <xf numFmtId="0" fontId="9" fillId="0" borderId="4" xfId="0" applyFont="1" applyBorder="1" applyAlignment="1"/>
    <xf numFmtId="44" fontId="9" fillId="0" borderId="0" xfId="0" applyNumberFormat="1" applyFont="1" applyAlignment="1"/>
    <xf numFmtId="0" fontId="9" fillId="4" borderId="4" xfId="0" applyFont="1" applyFill="1" applyBorder="1" applyAlignment="1"/>
    <xf numFmtId="0" fontId="9" fillId="4" borderId="0" xfId="0" applyFont="1" applyFill="1" applyAlignment="1"/>
    <xf numFmtId="0" fontId="9" fillId="0" borderId="14" xfId="0" applyFont="1" applyFill="1" applyBorder="1" applyAlignment="1"/>
    <xf numFmtId="0" fontId="9" fillId="0" borderId="13" xfId="0" applyFont="1" applyBorder="1" applyAlignment="1"/>
    <xf numFmtId="0" fontId="9" fillId="10" borderId="1" xfId="0" applyFont="1" applyFill="1" applyBorder="1"/>
    <xf numFmtId="165" fontId="9" fillId="10" borderId="1" xfId="0" applyNumberFormat="1" applyFont="1" applyFill="1" applyBorder="1"/>
    <xf numFmtId="0" fontId="4" fillId="8" borderId="0" xfId="0" applyFont="1" applyFill="1" applyAlignment="1">
      <alignment vertical="top"/>
    </xf>
    <xf numFmtId="0" fontId="5" fillId="4" borderId="12" xfId="0" applyFont="1" applyFill="1" applyBorder="1" applyAlignment="1">
      <alignment wrapText="1"/>
    </xf>
    <xf numFmtId="0" fontId="5" fillId="4" borderId="1" xfId="0" applyFont="1" applyFill="1" applyBorder="1" applyAlignment="1"/>
    <xf numFmtId="165" fontId="5" fillId="4" borderId="1" xfId="0" applyNumberFormat="1" applyFont="1" applyFill="1" applyBorder="1" applyAlignment="1">
      <alignment horizontal="right"/>
    </xf>
    <xf numFmtId="0" fontId="5" fillId="0" borderId="4" xfId="0" applyFont="1" applyFill="1" applyBorder="1"/>
    <xf numFmtId="165" fontId="3" fillId="0" borderId="3" xfId="0" applyNumberFormat="1" applyFont="1" applyBorder="1"/>
    <xf numFmtId="0" fontId="4" fillId="7" borderId="4" xfId="0" applyFont="1" applyFill="1" applyBorder="1"/>
    <xf numFmtId="165" fontId="4" fillId="7" borderId="4" xfId="0" applyNumberFormat="1" applyFont="1" applyFill="1" applyBorder="1"/>
    <xf numFmtId="0" fontId="19" fillId="0" borderId="5" xfId="0" applyFont="1" applyFill="1" applyBorder="1"/>
    <xf numFmtId="0" fontId="20" fillId="0" borderId="0" xfId="0" applyFont="1" applyFill="1" applyAlignment="1"/>
    <xf numFmtId="0" fontId="20" fillId="0" borderId="5" xfId="0" applyFont="1" applyFill="1" applyBorder="1"/>
    <xf numFmtId="0" fontId="21" fillId="0" borderId="5" xfId="0" applyFont="1" applyFill="1" applyBorder="1"/>
    <xf numFmtId="17" fontId="20" fillId="0" borderId="5" xfId="0" applyNumberFormat="1" applyFont="1" applyFill="1" applyBorder="1"/>
    <xf numFmtId="0" fontId="20" fillId="0" borderId="0" xfId="0" applyFont="1" applyAlignment="1"/>
    <xf numFmtId="0" fontId="22" fillId="5" borderId="0" xfId="0" applyFont="1" applyFill="1" applyAlignment="1"/>
    <xf numFmtId="0" fontId="23" fillId="6" borderId="4" xfId="0" applyFont="1" applyFill="1" applyBorder="1"/>
    <xf numFmtId="0" fontId="20" fillId="5" borderId="0" xfId="0" applyFont="1" applyFill="1" applyAlignment="1"/>
    <xf numFmtId="0" fontId="22" fillId="6" borderId="4" xfId="0" applyFont="1" applyFill="1" applyBorder="1"/>
    <xf numFmtId="165" fontId="25" fillId="0" borderId="3" xfId="2" applyNumberFormat="1" applyFont="1" applyBorder="1" applyAlignment="1"/>
    <xf numFmtId="165" fontId="20" fillId="0" borderId="4" xfId="0" applyNumberFormat="1" applyFont="1" applyBorder="1"/>
    <xf numFmtId="0" fontId="20" fillId="0" borderId="4" xfId="0" applyFont="1" applyBorder="1"/>
    <xf numFmtId="165" fontId="24" fillId="0" borderId="4" xfId="0" applyNumberFormat="1" applyFont="1" applyBorder="1"/>
    <xf numFmtId="0" fontId="20" fillId="7" borderId="4" xfId="0" applyFont="1" applyFill="1" applyBorder="1"/>
    <xf numFmtId="165" fontId="20" fillId="7" borderId="4" xfId="0" applyNumberFormat="1" applyFont="1" applyFill="1" applyBorder="1"/>
    <xf numFmtId="0" fontId="22" fillId="8" borderId="0" xfId="0" applyFont="1" applyFill="1" applyAlignment="1"/>
    <xf numFmtId="0" fontId="23" fillId="9" borderId="4" xfId="0" applyFont="1" applyFill="1" applyBorder="1"/>
    <xf numFmtId="0" fontId="20" fillId="8" borderId="4" xfId="0" applyFont="1" applyFill="1" applyBorder="1"/>
    <xf numFmtId="0" fontId="20" fillId="8" borderId="0" xfId="0" applyFont="1" applyFill="1" applyAlignment="1"/>
    <xf numFmtId="0" fontId="22" fillId="9" borderId="4" xfId="0" applyFont="1" applyFill="1" applyBorder="1"/>
    <xf numFmtId="165" fontId="24" fillId="0" borderId="15" xfId="0" applyNumberFormat="1" applyFont="1" applyBorder="1"/>
    <xf numFmtId="0" fontId="24" fillId="0" borderId="13" xfId="2" applyFont="1" applyBorder="1" applyAlignment="1"/>
    <xf numFmtId="0" fontId="20" fillId="0" borderId="5" xfId="0" applyFont="1" applyFill="1" applyBorder="1" applyAlignment="1"/>
    <xf numFmtId="0" fontId="20" fillId="0" borderId="4" xfId="0" applyFont="1" applyBorder="1" applyAlignment="1"/>
    <xf numFmtId="165" fontId="24" fillId="0" borderId="16" xfId="0" applyNumberFormat="1" applyFont="1" applyBorder="1"/>
    <xf numFmtId="0" fontId="20" fillId="0" borderId="12" xfId="0" applyFont="1" applyBorder="1"/>
    <xf numFmtId="0" fontId="20" fillId="0" borderId="12" xfId="0" applyFont="1" applyBorder="1" applyAlignment="1">
      <alignment wrapText="1"/>
    </xf>
    <xf numFmtId="0" fontId="24" fillId="10" borderId="1" xfId="0" applyFont="1" applyFill="1" applyBorder="1"/>
    <xf numFmtId="165" fontId="24" fillId="10" borderId="4" xfId="0" applyNumberFormat="1" applyFont="1" applyFill="1" applyBorder="1"/>
    <xf numFmtId="0" fontId="20" fillId="10" borderId="4" xfId="0" applyFont="1" applyFill="1" applyBorder="1"/>
    <xf numFmtId="0" fontId="20" fillId="11" borderId="0" xfId="0" applyFont="1" applyFill="1" applyAlignment="1"/>
    <xf numFmtId="0" fontId="23" fillId="12" borderId="4" xfId="0" applyFont="1" applyFill="1" applyBorder="1"/>
    <xf numFmtId="165" fontId="20" fillId="12" borderId="4" xfId="0" applyNumberFormat="1" applyFont="1" applyFill="1" applyBorder="1"/>
    <xf numFmtId="0" fontId="20" fillId="12" borderId="4" xfId="0" applyFont="1" applyFill="1" applyBorder="1"/>
    <xf numFmtId="0" fontId="3" fillId="0" borderId="1" xfId="0" applyFont="1" applyBorder="1" applyAlignment="1">
      <alignment horizontal="left" indent="1"/>
    </xf>
    <xf numFmtId="165" fontId="3" fillId="0" borderId="3" xfId="0" applyNumberFormat="1" applyFont="1" applyBorder="1" applyAlignment="1">
      <alignment horizontal="left" indent="1"/>
    </xf>
    <xf numFmtId="165" fontId="5" fillId="0" borderId="3" xfId="0" applyNumberFormat="1" applyFont="1" applyBorder="1"/>
    <xf numFmtId="0" fontId="8" fillId="0" borderId="0" xfId="0" applyFont="1" applyAlignment="1"/>
    <xf numFmtId="0" fontId="9" fillId="4" borderId="14" xfId="0" applyFont="1" applyFill="1" applyBorder="1" applyAlignment="1"/>
    <xf numFmtId="165" fontId="9" fillId="4" borderId="14" xfId="0" applyNumberFormat="1" applyFont="1" applyFill="1" applyBorder="1" applyAlignment="1"/>
    <xf numFmtId="165" fontId="9" fillId="0" borderId="4" xfId="0" applyNumberFormat="1" applyFont="1" applyFill="1" applyBorder="1"/>
    <xf numFmtId="0" fontId="32" fillId="0" borderId="0" xfId="0" applyFont="1" applyAlignment="1"/>
    <xf numFmtId="0" fontId="33" fillId="0" borderId="0" xfId="0" applyFont="1" applyAlignment="1"/>
    <xf numFmtId="0" fontId="34" fillId="0" borderId="0" xfId="0" applyFont="1" applyAlignment="1"/>
    <xf numFmtId="0" fontId="35" fillId="0" borderId="0" xfId="0" applyFont="1" applyAlignment="1"/>
    <xf numFmtId="0" fontId="36" fillId="0" borderId="0" xfId="0" applyFont="1" applyAlignment="1"/>
    <xf numFmtId="0" fontId="32" fillId="0" borderId="0" xfId="0" applyFont="1" applyAlignment="1">
      <alignment horizontal="center"/>
    </xf>
    <xf numFmtId="0" fontId="0" fillId="0" borderId="6" xfId="0" applyFont="1" applyBorder="1" applyAlignment="1"/>
    <xf numFmtId="0" fontId="32" fillId="0" borderId="0" xfId="0" applyFont="1" applyAlignment="1">
      <alignment wrapText="1"/>
    </xf>
    <xf numFmtId="0" fontId="34" fillId="0" borderId="6" xfId="0" applyFont="1" applyBorder="1" applyAlignment="1"/>
    <xf numFmtId="44" fontId="0" fillId="0" borderId="6" xfId="0" applyNumberFormat="1" applyFont="1" applyBorder="1" applyAlignment="1"/>
    <xf numFmtId="0" fontId="37" fillId="0" borderId="0" xfId="0" applyFont="1" applyAlignment="1"/>
    <xf numFmtId="0" fontId="0" fillId="0" borderId="0" xfId="0" pivotButton="1" applyFont="1" applyAlignment="1"/>
    <xf numFmtId="0" fontId="0" fillId="0" borderId="0" xfId="0" applyFont="1" applyAlignment="1">
      <alignment horizontal="left"/>
    </xf>
    <xf numFmtId="0" fontId="38" fillId="0" borderId="6" xfId="0" applyFont="1" applyBorder="1" applyAlignment="1"/>
    <xf numFmtId="0" fontId="0" fillId="8" borderId="0" xfId="0" applyFont="1" applyFill="1" applyAlignment="1"/>
    <xf numFmtId="0" fontId="39" fillId="0" borderId="0" xfId="0" applyFont="1" applyAlignment="1"/>
    <xf numFmtId="0" fontId="39" fillId="8" borderId="0" xfId="0" applyFont="1" applyFill="1" applyAlignment="1"/>
    <xf numFmtId="0" fontId="39" fillId="5" borderId="0" xfId="0" applyFont="1" applyFill="1" applyAlignment="1"/>
    <xf numFmtId="0" fontId="0" fillId="0" borderId="6" xfId="0" pivotButton="1" applyFont="1" applyBorder="1" applyAlignment="1"/>
    <xf numFmtId="0" fontId="8" fillId="0" borderId="6" xfId="0" applyFont="1" applyBorder="1" applyAlignment="1"/>
    <xf numFmtId="0" fontId="8" fillId="0" borderId="0" xfId="0" applyFont="1" applyAlignment="1">
      <alignment horizontal="left"/>
    </xf>
    <xf numFmtId="0" fontId="32" fillId="0" borderId="5" xfId="0" applyFont="1" applyBorder="1" applyAlignment="1">
      <alignment horizontal="center"/>
    </xf>
    <xf numFmtId="0" fontId="8" fillId="0" borderId="5" xfId="0" applyFont="1" applyBorder="1" applyAlignment="1"/>
    <xf numFmtId="0" fontId="0" fillId="0" borderId="5" xfId="0" applyFont="1" applyBorder="1" applyAlignment="1"/>
    <xf numFmtId="0" fontId="8" fillId="0" borderId="0" xfId="0" applyFont="1"/>
    <xf numFmtId="0" fontId="0" fillId="0" borderId="5" xfId="0" applyFont="1" applyFill="1" applyBorder="1"/>
    <xf numFmtId="0" fontId="8" fillId="0" borderId="5" xfId="0" applyFont="1" applyFill="1" applyBorder="1"/>
    <xf numFmtId="0" fontId="31" fillId="0" borderId="0" xfId="0" applyFont="1" applyAlignment="1">
      <alignment horizontal="left" indent="1"/>
    </xf>
    <xf numFmtId="44" fontId="0" fillId="0" borderId="6" xfId="0" pivotButton="1" applyNumberFormat="1" applyFont="1" applyBorder="1" applyAlignment="1"/>
    <xf numFmtId="0" fontId="8" fillId="0" borderId="11" xfId="0" applyFont="1" applyBorder="1"/>
    <xf numFmtId="0" fontId="40" fillId="0" borderId="0" xfId="0" applyFont="1" applyAlignment="1"/>
    <xf numFmtId="0" fontId="41" fillId="0" borderId="0" xfId="0" applyFont="1" applyAlignment="1"/>
    <xf numFmtId="0" fontId="32" fillId="0" borderId="9" xfId="0" applyFont="1" applyBorder="1" applyAlignment="1"/>
    <xf numFmtId="0" fontId="32" fillId="0" borderId="0" xfId="0" pivotButton="1" applyFont="1" applyAlignment="1"/>
    <xf numFmtId="165" fontId="9" fillId="0" borderId="5" xfId="0" applyNumberFormat="1" applyFont="1" applyBorder="1"/>
    <xf numFmtId="0" fontId="20" fillId="0" borderId="12" xfId="2" applyFont="1" applyBorder="1" applyAlignment="1"/>
    <xf numFmtId="0" fontId="42" fillId="0" borderId="13" xfId="2" applyFont="1" applyBorder="1" applyAlignment="1"/>
    <xf numFmtId="0" fontId="20" fillId="4" borderId="13" xfId="2" applyFont="1" applyFill="1" applyBorder="1" applyAlignment="1"/>
    <xf numFmtId="0" fontId="20" fillId="4" borderId="13" xfId="0" applyFont="1" applyFill="1" applyBorder="1" applyAlignment="1">
      <alignment vertical="center" wrapText="1"/>
    </xf>
    <xf numFmtId="0" fontId="20" fillId="4" borderId="13" xfId="0" applyFont="1" applyFill="1" applyBorder="1" applyAlignment="1"/>
    <xf numFmtId="0" fontId="20" fillId="0" borderId="13" xfId="0" applyFont="1" applyBorder="1" applyAlignment="1"/>
    <xf numFmtId="0" fontId="20" fillId="0" borderId="4" xfId="2" applyFont="1" applyBorder="1" applyAlignment="1"/>
    <xf numFmtId="44" fontId="9" fillId="0" borderId="5" xfId="0" applyNumberFormat="1" applyFont="1" applyBorder="1" applyAlignment="1"/>
    <xf numFmtId="44" fontId="9" fillId="4" borderId="5" xfId="0" applyNumberFormat="1" applyFont="1" applyFill="1" applyBorder="1" applyAlignment="1"/>
    <xf numFmtId="164" fontId="7" fillId="0" borderId="19" xfId="0" applyNumberFormat="1" applyFont="1" applyBorder="1"/>
    <xf numFmtId="0" fontId="7" fillId="0" borderId="19" xfId="0" applyFont="1" applyBorder="1" applyAlignment="1"/>
    <xf numFmtId="0" fontId="8" fillId="8" borderId="0" xfId="0" applyFont="1" applyFill="1" applyAlignment="1"/>
    <xf numFmtId="0" fontId="0" fillId="8" borderId="0" xfId="0" applyFill="1"/>
    <xf numFmtId="44" fontId="0" fillId="8" borderId="0" xfId="0" applyNumberFormat="1" applyFill="1"/>
    <xf numFmtId="2" fontId="0" fillId="8" borderId="0" xfId="0" applyNumberFormat="1" applyFill="1"/>
    <xf numFmtId="0" fontId="8" fillId="0" borderId="0" xfId="0" applyFont="1" applyFill="1" applyAlignment="1"/>
    <xf numFmtId="0" fontId="0" fillId="0" borderId="0" xfId="0" applyFill="1"/>
    <xf numFmtId="0" fontId="8" fillId="0" borderId="6" xfId="0" applyFont="1" applyBorder="1"/>
    <xf numFmtId="0" fontId="0" fillId="0" borderId="0" xfId="0" applyNumberFormat="1"/>
    <xf numFmtId="4" fontId="0" fillId="0" borderId="0" xfId="0" applyNumberFormat="1" applyFont="1" applyAlignment="1"/>
    <xf numFmtId="0" fontId="8" fillId="4" borderId="0" xfId="0" applyFont="1" applyFill="1" applyAlignment="1"/>
    <xf numFmtId="0" fontId="0" fillId="4" borderId="0" xfId="0" applyFont="1" applyFill="1" applyAlignment="1"/>
    <xf numFmtId="0" fontId="32" fillId="4" borderId="0" xfId="0" applyFont="1" applyFill="1" applyAlignment="1"/>
    <xf numFmtId="44" fontId="8" fillId="0" borderId="0" xfId="0" applyNumberFormat="1" applyFont="1" applyAlignment="1"/>
    <xf numFmtId="44" fontId="0" fillId="4" borderId="0" xfId="0" applyNumberFormat="1" applyFont="1" applyFill="1" applyAlignment="1"/>
    <xf numFmtId="44" fontId="5" fillId="0" borderId="0" xfId="0" applyNumberFormat="1" applyFont="1" applyAlignment="1"/>
    <xf numFmtId="0" fontId="0" fillId="5" borderId="0" xfId="0" applyFont="1" applyFill="1" applyAlignment="1"/>
    <xf numFmtId="0" fontId="5" fillId="0" borderId="0" xfId="0" applyFont="1" applyFill="1" applyAlignment="1"/>
    <xf numFmtId="165" fontId="0" fillId="0" borderId="4" xfId="0" applyNumberFormat="1" applyFont="1" applyFill="1" applyBorder="1"/>
    <xf numFmtId="0" fontId="0" fillId="0" borderId="4" xfId="0" applyFont="1" applyFill="1" applyBorder="1"/>
    <xf numFmtId="165" fontId="0" fillId="0" borderId="4" xfId="0" applyNumberFormat="1" applyFont="1" applyBorder="1"/>
    <xf numFmtId="0" fontId="0" fillId="0" borderId="4" xfId="0" applyFont="1" applyBorder="1"/>
    <xf numFmtId="0" fontId="5" fillId="17" borderId="0" xfId="0" applyFont="1" applyFill="1" applyAlignment="1"/>
    <xf numFmtId="0" fontId="5" fillId="17" borderId="4" xfId="0" applyFont="1" applyFill="1" applyBorder="1"/>
    <xf numFmtId="165" fontId="0" fillId="17" borderId="4" xfId="0" applyNumberFormat="1" applyFont="1" applyFill="1" applyBorder="1"/>
    <xf numFmtId="0" fontId="0" fillId="17" borderId="4" xfId="0" applyFont="1" applyFill="1" applyBorder="1"/>
    <xf numFmtId="0" fontId="20" fillId="18" borderId="4" xfId="0" applyFont="1" applyFill="1" applyBorder="1"/>
    <xf numFmtId="165" fontId="0" fillId="18" borderId="4" xfId="0" applyNumberFormat="1" applyFont="1" applyFill="1" applyBorder="1"/>
    <xf numFmtId="0" fontId="20" fillId="19" borderId="4" xfId="0" applyFont="1" applyFill="1" applyBorder="1"/>
    <xf numFmtId="165" fontId="0" fillId="19" borderId="4" xfId="0" applyNumberFormat="1" applyFont="1" applyFill="1" applyBorder="1"/>
    <xf numFmtId="0" fontId="20" fillId="0" borderId="4" xfId="0" applyFont="1" applyFill="1" applyBorder="1"/>
    <xf numFmtId="0" fontId="9" fillId="0" borderId="4" xfId="0" applyFont="1" applyFill="1" applyBorder="1"/>
    <xf numFmtId="165" fontId="9" fillId="17" borderId="4" xfId="0" applyNumberFormat="1" applyFont="1" applyFill="1" applyBorder="1"/>
    <xf numFmtId="0" fontId="9" fillId="17" borderId="4" xfId="0" applyFont="1" applyFill="1" applyBorder="1"/>
    <xf numFmtId="44" fontId="9" fillId="0" borderId="13" xfId="0" applyNumberFormat="1" applyFont="1" applyFill="1" applyBorder="1" applyAlignment="1"/>
    <xf numFmtId="0" fontId="9" fillId="0" borderId="13" xfId="0" applyFont="1" applyFill="1" applyBorder="1" applyAlignment="1"/>
    <xf numFmtId="0" fontId="5" fillId="17" borderId="13" xfId="0" applyFont="1" applyFill="1" applyBorder="1" applyAlignment="1"/>
    <xf numFmtId="44" fontId="9" fillId="17" borderId="13" xfId="0" applyNumberFormat="1" applyFont="1" applyFill="1" applyBorder="1" applyAlignment="1"/>
    <xf numFmtId="0" fontId="0" fillId="0" borderId="13" xfId="0" applyFont="1" applyBorder="1" applyAlignment="1"/>
    <xf numFmtId="44" fontId="0" fillId="0" borderId="13" xfId="0" applyNumberFormat="1" applyFont="1" applyBorder="1" applyAlignment="1"/>
    <xf numFmtId="0" fontId="0" fillId="17" borderId="0" xfId="0" applyFont="1" applyFill="1" applyAlignment="1"/>
    <xf numFmtId="0" fontId="0" fillId="17" borderId="13" xfId="0" applyFont="1" applyFill="1" applyBorder="1" applyAlignment="1"/>
    <xf numFmtId="0" fontId="0" fillId="0" borderId="13" xfId="0" applyFont="1" applyFill="1" applyBorder="1" applyAlignment="1"/>
    <xf numFmtId="44" fontId="0" fillId="0" borderId="13" xfId="0" applyNumberFormat="1" applyFont="1" applyFill="1" applyBorder="1" applyAlignment="1"/>
    <xf numFmtId="0" fontId="0" fillId="4" borderId="13" xfId="0" applyFont="1" applyFill="1" applyBorder="1" applyAlignment="1"/>
    <xf numFmtId="44" fontId="0" fillId="4" borderId="13" xfId="0" applyNumberFormat="1" applyFont="1" applyFill="1" applyBorder="1" applyAlignment="1"/>
    <xf numFmtId="44" fontId="0" fillId="0" borderId="10" xfId="0" applyNumberFormat="1" applyFont="1" applyFill="1" applyBorder="1" applyAlignment="1"/>
    <xf numFmtId="44" fontId="0" fillId="17" borderId="13" xfId="0" applyNumberFormat="1" applyFont="1" applyFill="1" applyBorder="1" applyAlignment="1"/>
    <xf numFmtId="0" fontId="0" fillId="0" borderId="5" xfId="0" applyFont="1" applyFill="1" applyBorder="1" applyAlignment="1"/>
    <xf numFmtId="44" fontId="0" fillId="0" borderId="5" xfId="0" applyNumberFormat="1" applyFont="1" applyFill="1" applyBorder="1" applyAlignment="1"/>
    <xf numFmtId="0" fontId="0" fillId="10" borderId="1" xfId="0" applyFont="1" applyFill="1" applyBorder="1"/>
    <xf numFmtId="165" fontId="0" fillId="10" borderId="1" xfId="0" applyNumberFormat="1" applyFont="1" applyFill="1" applyBorder="1"/>
    <xf numFmtId="0" fontId="0" fillId="11" borderId="0" xfId="0" applyFont="1" applyFill="1" applyAlignment="1"/>
    <xf numFmtId="165" fontId="0" fillId="12" borderId="4" xfId="0" applyNumberFormat="1" applyFont="1" applyFill="1" applyBorder="1"/>
    <xf numFmtId="0" fontId="0" fillId="12" borderId="4" xfId="0" applyFont="1" applyFill="1" applyBorder="1"/>
    <xf numFmtId="0" fontId="45" fillId="4" borderId="0" xfId="0" applyFont="1" applyFill="1" applyAlignment="1"/>
    <xf numFmtId="0" fontId="46" fillId="4" borderId="0" xfId="0" applyFont="1" applyFill="1" applyAlignment="1"/>
    <xf numFmtId="0" fontId="0" fillId="4" borderId="0" xfId="0" applyNumberFormat="1" applyFill="1"/>
    <xf numFmtId="44" fontId="0" fillId="4" borderId="0" xfId="0" applyNumberFormat="1" applyFill="1"/>
    <xf numFmtId="165" fontId="0" fillId="4" borderId="4" xfId="0" applyNumberFormat="1" applyFont="1" applyFill="1" applyBorder="1"/>
    <xf numFmtId="0" fontId="0" fillId="4" borderId="4" xfId="0" applyFont="1" applyFill="1" applyBorder="1"/>
    <xf numFmtId="44" fontId="9" fillId="4" borderId="13" xfId="0" applyNumberFormat="1" applyFont="1" applyFill="1" applyBorder="1" applyAlignment="1"/>
    <xf numFmtId="0" fontId="9" fillId="4" borderId="13" xfId="0" applyFont="1" applyFill="1" applyBorder="1" applyAlignment="1"/>
    <xf numFmtId="0" fontId="8" fillId="0" borderId="13" xfId="0" applyFont="1" applyBorder="1" applyAlignment="1"/>
    <xf numFmtId="0" fontId="8" fillId="0" borderId="10" xfId="0" applyFont="1" applyFill="1" applyBorder="1" applyAlignment="1"/>
    <xf numFmtId="0" fontId="8" fillId="17" borderId="13" xfId="0" applyFont="1" applyFill="1" applyBorder="1" applyAlignment="1"/>
    <xf numFmtId="0" fontId="0" fillId="17" borderId="0" xfId="0" applyFont="1" applyFill="1" applyAlignment="1">
      <alignment horizontal="left"/>
    </xf>
    <xf numFmtId="44" fontId="0" fillId="17" borderId="0" xfId="0" applyNumberFormat="1" applyFont="1" applyFill="1" applyAlignment="1"/>
    <xf numFmtId="0" fontId="0" fillId="0" borderId="0" xfId="0" applyFont="1" applyFill="1" applyAlignment="1">
      <alignment horizontal="left"/>
    </xf>
    <xf numFmtId="44" fontId="0" fillId="0" borderId="0" xfId="0" applyNumberFormat="1" applyFont="1" applyFill="1" applyAlignment="1"/>
    <xf numFmtId="0" fontId="8" fillId="4" borderId="13" xfId="0" applyFont="1" applyFill="1" applyBorder="1" applyAlignment="1"/>
    <xf numFmtId="0" fontId="8" fillId="0" borderId="13" xfId="0" applyFont="1" applyFill="1" applyBorder="1" applyAlignment="1"/>
    <xf numFmtId="0" fontId="4" fillId="0" borderId="12" xfId="0" applyFont="1" applyBorder="1" applyAlignment="1"/>
    <xf numFmtId="165" fontId="5" fillId="0" borderId="12" xfId="0" applyNumberFormat="1" applyFont="1" applyBorder="1" applyAlignment="1">
      <alignment horizontal="right"/>
    </xf>
    <xf numFmtId="0" fontId="8" fillId="0" borderId="7" xfId="0" applyFont="1" applyFill="1" applyBorder="1" applyAlignment="1">
      <alignment horizontal="left" indent="1"/>
    </xf>
    <xf numFmtId="0" fontId="5" fillId="0" borderId="13" xfId="0" applyFont="1" applyBorder="1" applyAlignment="1">
      <alignment horizontal="left" indent="1"/>
    </xf>
    <xf numFmtId="164" fontId="5" fillId="0" borderId="13" xfId="0" applyNumberFormat="1" applyFont="1" applyBorder="1" applyAlignment="1">
      <alignment horizontal="right"/>
    </xf>
    <xf numFmtId="0" fontId="3" fillId="0" borderId="13" xfId="0" applyFont="1" applyBorder="1" applyAlignment="1">
      <alignment horizontal="left" indent="1"/>
    </xf>
    <xf numFmtId="164" fontId="3" fillId="0" borderId="13" xfId="0" applyNumberFormat="1" applyFont="1" applyBorder="1" applyAlignment="1"/>
    <xf numFmtId="165" fontId="5" fillId="0" borderId="13" xfId="0" applyNumberFormat="1" applyFont="1" applyBorder="1"/>
    <xf numFmtId="0" fontId="5" fillId="0" borderId="0" xfId="0" applyFont="1" applyAlignment="1">
      <alignment vertical="center"/>
    </xf>
    <xf numFmtId="0" fontId="8" fillId="0" borderId="0" xfId="0" applyFont="1" applyAlignment="1">
      <alignment horizontal="left" vertical="center" indent="4"/>
    </xf>
    <xf numFmtId="0" fontId="34" fillId="0" borderId="0" xfId="0" applyFont="1" applyAlignment="1">
      <alignment wrapText="1"/>
    </xf>
    <xf numFmtId="0" fontId="8" fillId="0" borderId="0" xfId="0" applyFont="1" applyAlignment="1">
      <alignment vertical="top"/>
    </xf>
    <xf numFmtId="0" fontId="34" fillId="0" borderId="0" xfId="0" applyFont="1" applyAlignment="1">
      <alignment vertical="top" wrapText="1"/>
    </xf>
    <xf numFmtId="0" fontId="8" fillId="0" borderId="0" xfId="0" pivotButton="1" applyFont="1" applyAlignment="1"/>
    <xf numFmtId="0" fontId="3" fillId="0" borderId="4" xfId="0" applyFont="1" applyFill="1" applyBorder="1"/>
    <xf numFmtId="0" fontId="9" fillId="0" borderId="5" xfId="0" applyFont="1" applyFill="1" applyBorder="1" applyAlignment="1"/>
    <xf numFmtId="0" fontId="22" fillId="0" borderId="0" xfId="0" applyFont="1" applyAlignment="1"/>
    <xf numFmtId="0" fontId="0" fillId="0" borderId="5" xfId="0" applyBorder="1"/>
    <xf numFmtId="0" fontId="8" fillId="0" borderId="11" xfId="0" applyFont="1" applyFill="1" applyBorder="1"/>
    <xf numFmtId="0" fontId="8" fillId="0" borderId="5" xfId="0" applyFont="1" applyFill="1" applyBorder="1" applyAlignment="1"/>
    <xf numFmtId="0" fontId="8" fillId="0" borderId="0" xfId="0" applyFont="1" applyAlignment="1">
      <alignment wrapText="1"/>
    </xf>
    <xf numFmtId="0" fontId="5" fillId="0" borderId="5" xfId="0" applyFont="1" applyBorder="1" applyAlignment="1"/>
    <xf numFmtId="0" fontId="5" fillId="4" borderId="1" xfId="0" applyFont="1" applyFill="1" applyBorder="1"/>
    <xf numFmtId="165" fontId="9" fillId="4" borderId="1" xfId="0" applyNumberFormat="1" applyFont="1" applyFill="1" applyBorder="1"/>
    <xf numFmtId="0" fontId="9" fillId="4" borderId="14" xfId="0" applyFont="1" applyFill="1" applyBorder="1"/>
    <xf numFmtId="165" fontId="9" fillId="4" borderId="13" xfId="0" applyNumberFormat="1" applyFont="1" applyFill="1" applyBorder="1" applyAlignment="1"/>
    <xf numFmtId="0" fontId="47" fillId="0" borderId="0" xfId="14" applyFill="1" applyAlignment="1"/>
    <xf numFmtId="0" fontId="5" fillId="0" borderId="21" xfId="0" applyFont="1" applyBorder="1"/>
    <xf numFmtId="0" fontId="5" fillId="0" borderId="11" xfId="0" applyFont="1" applyBorder="1"/>
    <xf numFmtId="0" fontId="5" fillId="0" borderId="11" xfId="0" applyFont="1" applyFill="1" applyBorder="1" applyAlignment="1"/>
    <xf numFmtId="0" fontId="5" fillId="4" borderId="22" xfId="0" applyFont="1" applyFill="1" applyBorder="1" applyAlignment="1"/>
    <xf numFmtId="0" fontId="8" fillId="0" borderId="20" xfId="0" applyFont="1" applyBorder="1" applyAlignment="1">
      <alignment horizontal="left" vertical="top" wrapText="1"/>
    </xf>
    <xf numFmtId="0" fontId="8" fillId="0" borderId="0" xfId="0" quotePrefix="1" applyFont="1" applyAlignment="1">
      <alignment horizontal="left" vertical="top" wrapText="1"/>
    </xf>
    <xf numFmtId="0" fontId="0" fillId="0" borderId="0" xfId="0" applyFont="1" applyAlignment="1">
      <alignment horizontal="left" vertical="top" wrapText="1"/>
    </xf>
    <xf numFmtId="0" fontId="8" fillId="0" borderId="0" xfId="0" applyFont="1" applyAlignment="1">
      <alignment horizontal="left" vertical="top" wrapText="1"/>
    </xf>
    <xf numFmtId="0" fontId="8" fillId="0" borderId="20" xfId="0" applyFont="1" applyBorder="1" applyAlignment="1">
      <alignment horizontal="left" vertical="center" wrapText="1"/>
    </xf>
    <xf numFmtId="0" fontId="8" fillId="0" borderId="4" xfId="0" applyFont="1" applyFill="1" applyBorder="1"/>
  </cellXfs>
  <cellStyles count="15">
    <cellStyle name="Currency" xfId="1" builtinId="4"/>
    <cellStyle name="GrayCell 2 2" xfId="9" xr:uid="{34E8789E-F37A-449C-A589-1ED09DFA27FB}"/>
    <cellStyle name="Heading 1 2" xfId="4" xr:uid="{F8B27EA1-D24E-493D-9992-11F9270DC1B1}"/>
    <cellStyle name="Heading 2 2" xfId="5" xr:uid="{212FA97D-821B-4C5A-A2EA-0159D0C3E001}"/>
    <cellStyle name="Heading 3 2" xfId="10" xr:uid="{50C9DA6D-8A6E-4C09-844C-C3150489D2CA}"/>
    <cellStyle name="Hyperlink" xfId="14" builtinId="8"/>
    <cellStyle name="Normal" xfId="0" builtinId="0"/>
    <cellStyle name="Normal 2" xfId="2" xr:uid="{5056FCC3-3B8D-4B5E-8640-AD19CBB7BE1E}"/>
    <cellStyle name="Normal 2 2" xfId="3" xr:uid="{85EF95B8-D14C-46DE-BCA0-F33DFAB88BAA}"/>
    <cellStyle name="Normal 3" xfId="7" xr:uid="{56152E1A-46B9-4A2B-84A7-C7D2FD1E71BF}"/>
    <cellStyle name="Normal 3 2" xfId="12" xr:uid="{09A9D631-BF3F-4081-9845-1F651B406890}"/>
    <cellStyle name="OrangeBorder 2" xfId="11" xr:uid="{815EAAC9-7679-4BAE-B961-CE2E96ECF7BB}"/>
    <cellStyle name="Title 2" xfId="6" xr:uid="{A030ADE0-533A-42DA-8EC1-87A763DDDBEE}"/>
    <cellStyle name="YellowCell 2 2" xfId="8" xr:uid="{B77543C5-714D-4541-87A6-344C8EB95599}"/>
    <cellStyle name="z A Column text" xfId="13" xr:uid="{85EF1F87-FFCB-49B6-A472-3460A06EEEF7}"/>
  </cellStyles>
  <dxfs count="339">
    <dxf>
      <numFmt numFmtId="34" formatCode="_-&quot;$&quot;* #,##0.00_-;\-&quot;$&quot;* #,##0.00_-;_-&quot;$&quot;* &quot;-&quot;??_-;_-@_-"/>
    </dxf>
    <dxf>
      <numFmt numFmtId="34" formatCode="_-&quot;$&quot;* #,##0.00_-;\-&quot;$&quot;* #,##0.00_-;_-&quot;$&quot;* &quot;-&quot;??_-;_-@_-"/>
    </dxf>
    <dxf>
      <numFmt numFmtId="34" formatCode="_-&quot;$&quot;* #,##0.00_-;\-&quot;$&quot;* #,##0.00_-;_-&quot;$&quot;* &quot;-&quot;??_-;_-@_-"/>
    </dxf>
    <dxf>
      <numFmt numFmtId="34" formatCode="_-&quot;$&quot;* #,##0.00_-;\-&quot;$&quot;* #,##0.00_-;_-&quot;$&quot;* &quot;-&quot;??_-;_-@_-"/>
    </dxf>
    <dxf>
      <numFmt numFmtId="34" formatCode="_-&quot;$&quot;* #,##0.00_-;\-&quot;$&quot;* #,##0.00_-;_-&quot;$&quot;* &quot;-&quot;??_-;_-@_-"/>
    </dxf>
    <dxf>
      <numFmt numFmtId="34" formatCode="_-&quot;$&quot;* #,##0.00_-;\-&quot;$&quot;* #,##0.00_-;_-&quot;$&quot;* &quot;-&quot;??_-;_-@_-"/>
    </dxf>
    <dxf>
      <numFmt numFmtId="34" formatCode="_-&quot;$&quot;* #,##0.00_-;\-&quot;$&quot;* #,##0.00_-;_-&quot;$&quot;* &quot;-&quot;??_-;_-@_-"/>
    </dxf>
    <dxf>
      <numFmt numFmtId="34" formatCode="_-&quot;$&quot;* #,##0.00_-;\-&quot;$&quot;* #,##0.00_-;_-&quot;$&quot;* &quot;-&quot;??_-;_-@_-"/>
    </dxf>
    <dxf>
      <numFmt numFmtId="34" formatCode="_-&quot;$&quot;* #,##0.00_-;\-&quot;$&quot;* #,##0.00_-;_-&quot;$&quot;* &quot;-&quot;??_-;_-@_-"/>
    </dxf>
    <dxf>
      <numFmt numFmtId="34" formatCode="_-&quot;$&quot;* #,##0.00_-;\-&quot;$&quot;* #,##0.00_-;_-&quot;$&quot;* &quot;-&quot;??_-;_-@_-"/>
    </dxf>
    <dxf>
      <numFmt numFmtId="34" formatCode="_-&quot;$&quot;* #,##0.00_-;\-&quot;$&quot;* #,##0.00_-;_-&quot;$&quot;* &quot;-&quot;??_-;_-@_-"/>
    </dxf>
    <dxf>
      <numFmt numFmtId="34" formatCode="_-&quot;$&quot;* #,##0.00_-;\-&quot;$&quot;* #,##0.00_-;_-&quot;$&quot;* &quot;-&quot;??_-;_-@_-"/>
    </dxf>
    <dxf>
      <numFmt numFmtId="34" formatCode="_-&quot;$&quot;* #,##0.00_-;\-&quot;$&quot;* #,##0.00_-;_-&quot;$&quot;* &quot;-&quot;??_-;_-@_-"/>
    </dxf>
    <dxf>
      <numFmt numFmtId="34" formatCode="_-&quot;$&quot;* #,##0.00_-;\-&quot;$&quot;* #,##0.00_-;_-&quot;$&quot;* &quot;-&quot;??_-;_-@_-"/>
    </dxf>
    <dxf>
      <numFmt numFmtId="34" formatCode="_-&quot;$&quot;* #,##0.00_-;\-&quot;$&quot;* #,##0.00_-;_-&quot;$&quot;* &quot;-&quot;??_-;_-@_-"/>
    </dxf>
    <dxf>
      <numFmt numFmtId="34" formatCode="_-&quot;$&quot;* #,##0.00_-;\-&quot;$&quot;* #,##0.00_-;_-&quot;$&quot;* &quot;-&quot;??_-;_-@_-"/>
    </dxf>
    <dxf>
      <numFmt numFmtId="34" formatCode="_-&quot;$&quot;* #,##0.00_-;\-&quot;$&quot;* #,##0.00_-;_-&quot;$&quot;* &quot;-&quot;??_-;_-@_-"/>
    </dxf>
    <dxf>
      <numFmt numFmtId="34" formatCode="_-&quot;$&quot;* #,##0.00_-;\-&quot;$&quot;* #,##0.00_-;_-&quot;$&quot;* &quot;-&quot;??_-;_-@_-"/>
    </dxf>
    <dxf>
      <numFmt numFmtId="34" formatCode="_-&quot;$&quot;* #,##0.00_-;\-&quot;$&quot;* #,##0.00_-;_-&quot;$&quot;* &quot;-&quot;??_-;_-@_-"/>
    </dxf>
    <dxf>
      <numFmt numFmtId="34" formatCode="_-&quot;$&quot;* #,##0.00_-;\-&quot;$&quot;* #,##0.00_-;_-&quot;$&quot;* &quot;-&quot;??_-;_-@_-"/>
    </dxf>
    <dxf>
      <numFmt numFmtId="34" formatCode="_-&quot;$&quot;* #,##0.00_-;\-&quot;$&quot;* #,##0.00_-;_-&quot;$&quot;* &quot;-&quot;??_-;_-@_-"/>
    </dxf>
    <dxf>
      <numFmt numFmtId="34" formatCode="_-&quot;$&quot;* #,##0.00_-;\-&quot;$&quot;* #,##0.00_-;_-&quot;$&quot;* &quot;-&quot;??_-;_-@_-"/>
    </dxf>
    <dxf>
      <numFmt numFmtId="34" formatCode="_-&quot;$&quot;* #,##0.00_-;\-&quot;$&quot;* #,##0.00_-;_-&quot;$&quot;* &quot;-&quot;??_-;_-@_-"/>
    </dxf>
    <dxf>
      <numFmt numFmtId="34" formatCode="_-&quot;$&quot;* #,##0.00_-;\-&quot;$&quot;* #,##0.00_-;_-&quot;$&quot;* &quot;-&quot;??_-;_-@_-"/>
    </dxf>
    <dxf>
      <numFmt numFmtId="34" formatCode="_-&quot;$&quot;* #,##0.00_-;\-&quot;$&quot;* #,##0.00_-;_-&quot;$&quot;* &quot;-&quot;??_-;_-@_-"/>
    </dxf>
    <dxf>
      <numFmt numFmtId="34" formatCode="_-&quot;$&quot;* #,##0.00_-;\-&quot;$&quot;* #,##0.00_-;_-&quot;$&quot;* &quot;-&quot;??_-;_-@_-"/>
    </dxf>
    <dxf>
      <numFmt numFmtId="34" formatCode="_-&quot;$&quot;* #,##0.00_-;\-&quot;$&quot;* #,##0.00_-;_-&quot;$&quot;* &quot;-&quot;??_-;_-@_-"/>
    </dxf>
    <dxf>
      <numFmt numFmtId="34" formatCode="_-&quot;$&quot;* #,##0.00_-;\-&quot;$&quot;* #,##0.00_-;_-&quot;$&quot;* &quot;-&quot;??_-;_-@_-"/>
    </dxf>
    <dxf>
      <numFmt numFmtId="34" formatCode="_-&quot;$&quot;* #,##0.00_-;\-&quot;$&quot;* #,##0.00_-;_-&quot;$&quot;* &quot;-&quot;??_-;_-@_-"/>
    </dxf>
    <dxf>
      <numFmt numFmtId="34" formatCode="_-&quot;$&quot;* #,##0.00_-;\-&quot;$&quot;* #,##0.00_-;_-&quot;$&quot;* &quot;-&quot;??_-;_-@_-"/>
    </dxf>
    <dxf>
      <numFmt numFmtId="34" formatCode="_-&quot;$&quot;* #,##0.00_-;\-&quot;$&quot;* #,##0.00_-;_-&quot;$&quot;* &quot;-&quot;??_-;_-@_-"/>
    </dxf>
    <dxf>
      <numFmt numFmtId="34" formatCode="_-&quot;$&quot;* #,##0.00_-;\-&quot;$&quot;* #,##0.00_-;_-&quot;$&quot;* &quot;-&quot;??_-;_-@_-"/>
    </dxf>
    <dxf>
      <numFmt numFmtId="34" formatCode="_-&quot;$&quot;* #,##0.00_-;\-&quot;$&quot;* #,##0.00_-;_-&quot;$&quot;* &quot;-&quot;??_-;_-@_-"/>
    </dxf>
    <dxf>
      <numFmt numFmtId="34" formatCode="_-&quot;$&quot;* #,##0.00_-;\-&quot;$&quot;* #,##0.00_-;_-&quot;$&quot;* &quot;-&quot;??_-;_-@_-"/>
    </dxf>
    <dxf>
      <numFmt numFmtId="34" formatCode="_-&quot;$&quot;* #,##0.00_-;\-&quot;$&quot;* #,##0.00_-;_-&quot;$&quot;* &quot;-&quot;??_-;_-@_-"/>
    </dxf>
    <dxf>
      <numFmt numFmtId="34" formatCode="_-&quot;$&quot;* #,##0.00_-;\-&quot;$&quot;* #,##0.00_-;_-&quot;$&quot;* &quot;-&quot;??_-;_-@_-"/>
    </dxf>
    <dxf>
      <numFmt numFmtId="34" formatCode="_-&quot;$&quot;* #,##0.00_-;\-&quot;$&quot;* #,##0.00_-;_-&quot;$&quot;* &quot;-&quot;??_-;_-@_-"/>
    </dxf>
    <dxf>
      <numFmt numFmtId="34" formatCode="_-&quot;$&quot;* #,##0.00_-;\-&quot;$&quot;* #,##0.00_-;_-&quot;$&quot;* &quot;-&quot;??_-;_-@_-"/>
    </dxf>
    <dxf>
      <numFmt numFmtId="34" formatCode="_-&quot;$&quot;* #,##0.00_-;\-&quot;$&quot;* #,##0.00_-;_-&quot;$&quot;* &quot;-&quot;??_-;_-@_-"/>
    </dxf>
    <dxf>
      <numFmt numFmtId="34" formatCode="_-&quot;$&quot;* #,##0.00_-;\-&quot;$&quot;* #,##0.00_-;_-&quot;$&quot;* &quot;-&quot;??_-;_-@_-"/>
    </dxf>
    <dxf>
      <numFmt numFmtId="34" formatCode="_-&quot;$&quot;* #,##0.00_-;\-&quot;$&quot;* #,##0.00_-;_-&quot;$&quot;* &quot;-&quot;??_-;_-@_-"/>
    </dxf>
    <dxf>
      <numFmt numFmtId="34" formatCode="_-&quot;$&quot;* #,##0.00_-;\-&quot;$&quot;* #,##0.00_-;_-&quot;$&quot;* &quot;-&quot;??_-;_-@_-"/>
    </dxf>
    <dxf>
      <numFmt numFmtId="34" formatCode="_-&quot;$&quot;* #,##0.00_-;\-&quot;$&quot;* #,##0.00_-;_-&quot;$&quot;* &quot;-&quot;??_-;_-@_-"/>
    </dxf>
    <dxf>
      <numFmt numFmtId="34" formatCode="_-&quot;$&quot;* #,##0.00_-;\-&quot;$&quot;* #,##0.00_-;_-&quot;$&quot;* &quot;-&quot;??_-;_-@_-"/>
    </dxf>
    <dxf>
      <numFmt numFmtId="34" formatCode="_-&quot;$&quot;* #,##0.00_-;\-&quot;$&quot;* #,##0.00_-;_-&quot;$&quot;* &quot;-&quot;??_-;_-@_-"/>
    </dxf>
    <dxf>
      <numFmt numFmtId="34" formatCode="_-&quot;$&quot;* #,##0.00_-;\-&quot;$&quot;* #,##0.00_-;_-&quot;$&quot;* &quot;-&quot;??_-;_-@_-"/>
    </dxf>
    <dxf>
      <numFmt numFmtId="34" formatCode="_-&quot;$&quot;* #,##0.00_-;\-&quot;$&quot;* #,##0.00_-;_-&quot;$&quot;* &quot;-&quot;??_-;_-@_-"/>
    </dxf>
    <dxf>
      <numFmt numFmtId="34" formatCode="_-&quot;$&quot;* #,##0.00_-;\-&quot;$&quot;* #,##0.00_-;_-&quot;$&quot;* &quot;-&quot;??_-;_-@_-"/>
    </dxf>
    <dxf>
      <numFmt numFmtId="34" formatCode="_-&quot;$&quot;* #,##0.00_-;\-&quot;$&quot;* #,##0.00_-;_-&quot;$&quot;* &quot;-&quot;??_-;_-@_-"/>
    </dxf>
    <dxf>
      <numFmt numFmtId="34" formatCode="_-&quot;$&quot;* #,##0.00_-;\-&quot;$&quot;* #,##0.00_-;_-&quot;$&quot;* &quot;-&quot;??_-;_-@_-"/>
    </dxf>
    <dxf>
      <numFmt numFmtId="34" formatCode="_-&quot;$&quot;* #,##0.00_-;\-&quot;$&quot;* #,##0.00_-;_-&quot;$&quot;* &quot;-&quot;??_-;_-@_-"/>
    </dxf>
    <dxf>
      <numFmt numFmtId="34" formatCode="_-&quot;$&quot;* #,##0.00_-;\-&quot;$&quot;* #,##0.00_-;_-&quot;$&quot;* &quot;-&quot;??_-;_-@_-"/>
    </dxf>
    <dxf>
      <numFmt numFmtId="34" formatCode="_-&quot;$&quot;* #,##0.00_-;\-&quot;$&quot;* #,##0.00_-;_-&quot;$&quot;* &quot;-&quot;??_-;_-@_-"/>
    </dxf>
    <dxf>
      <numFmt numFmtId="34" formatCode="_-&quot;$&quot;* #,##0.00_-;\-&quot;$&quot;* #,##0.00_-;_-&quot;$&quot;* &quot;-&quot;??_-;_-@_-"/>
    </dxf>
    <dxf>
      <numFmt numFmtId="34" formatCode="_-&quot;$&quot;* #,##0.00_-;\-&quot;$&quot;* #,##0.00_-;_-&quot;$&quot;* &quot;-&quot;??_-;_-@_-"/>
    </dxf>
    <dxf>
      <numFmt numFmtId="34" formatCode="_-&quot;$&quot;* #,##0.00_-;\-&quot;$&quot;* #,##0.00_-;_-&quot;$&quot;* &quot;-&quot;??_-;_-@_-"/>
    </dxf>
    <dxf>
      <numFmt numFmtId="34" formatCode="_-&quot;$&quot;* #,##0.00_-;\-&quot;$&quot;* #,##0.00_-;_-&quot;$&quot;* &quot;-&quot;??_-;_-@_-"/>
    </dxf>
    <dxf>
      <fill>
        <patternFill patternType="solid">
          <bgColor rgb="FF92D050"/>
        </patternFill>
      </fill>
    </dxf>
    <dxf>
      <fill>
        <patternFill patternType="solid">
          <bgColor rgb="FF92D050"/>
        </patternFill>
      </fill>
    </dxf>
    <dxf>
      <fill>
        <patternFill patternType="solid">
          <bgColor rgb="FF92D050"/>
        </patternFill>
      </fill>
    </dxf>
    <dxf>
      <fill>
        <patternFill patternType="none">
          <bgColor auto="1"/>
        </patternFill>
      </fill>
    </dxf>
    <dxf>
      <fill>
        <patternFill patternType="none">
          <bgColor auto="1"/>
        </patternFill>
      </fill>
    </dxf>
    <dxf>
      <numFmt numFmtId="34" formatCode="_-&quot;$&quot;* #,##0.00_-;\-&quot;$&quot;* #,##0.00_-;_-&quot;$&quot;* &quot;-&quot;??_-;_-@_-"/>
    </dxf>
    <dxf>
      <numFmt numFmtId="34" formatCode="_-&quot;$&quot;* #,##0.00_-;\-&quot;$&quot;* #,##0.00_-;_-&quot;$&quot;* &quot;-&quot;??_-;_-@_-"/>
    </dxf>
    <dxf>
      <numFmt numFmtId="34" formatCode="_-&quot;$&quot;* #,##0.00_-;\-&quot;$&quot;* #,##0.00_-;_-&quot;$&quot;* &quot;-&quot;??_-;_-@_-"/>
    </dxf>
    <dxf>
      <numFmt numFmtId="34" formatCode="_-&quot;$&quot;* #,##0.00_-;\-&quot;$&quot;* #,##0.00_-;_-&quot;$&quot;* &quot;-&quot;??_-;_-@_-"/>
    </dxf>
    <dxf>
      <numFmt numFmtId="34" formatCode="_-&quot;$&quot;* #,##0.00_-;\-&quot;$&quot;* #,##0.00_-;_-&quot;$&quot;* &quot;-&quot;??_-;_-@_-"/>
    </dxf>
    <dxf>
      <numFmt numFmtId="34" formatCode="_-&quot;$&quot;* #,##0.00_-;\-&quot;$&quot;* #,##0.00_-;_-&quot;$&quot;* &quot;-&quot;??_-;_-@_-"/>
    </dxf>
    <dxf>
      <fill>
        <patternFill patternType="solid">
          <bgColor rgb="FF92D050"/>
        </patternFill>
      </fill>
    </dxf>
    <dxf>
      <fill>
        <patternFill patternType="none">
          <bgColor auto="1"/>
        </patternFill>
      </fill>
    </dxf>
    <dxf>
      <fill>
        <patternFill patternType="none">
          <bgColor auto="1"/>
        </patternFill>
      </fill>
    </dxf>
    <dxf>
      <fill>
        <patternFill patternType="solid">
          <bgColor rgb="FF92D050"/>
        </patternFill>
      </fill>
    </dxf>
    <dxf>
      <fill>
        <patternFill patternType="solid">
          <bgColor rgb="FF92D050"/>
        </patternFill>
      </fill>
    </dxf>
    <dxf>
      <numFmt numFmtId="34" formatCode="_-&quot;$&quot;* #,##0.00_-;\-&quot;$&quot;* #,##0.00_-;_-&quot;$&quot;* &quot;-&quot;??_-;_-@_-"/>
    </dxf>
    <dxf>
      <numFmt numFmtId="34" formatCode="_-&quot;$&quot;* #,##0.00_-;\-&quot;$&quot;* #,##0.00_-;_-&quot;$&quot;* &quot;-&quot;??_-;_-@_-"/>
    </dxf>
    <dxf>
      <numFmt numFmtId="34" formatCode="_-&quot;$&quot;* #,##0.00_-;\-&quot;$&quot;* #,##0.00_-;_-&quot;$&quot;* &quot;-&quot;??_-;_-@_-"/>
    </dxf>
    <dxf>
      <numFmt numFmtId="34" formatCode="_-&quot;$&quot;* #,##0.00_-;\-&quot;$&quot;* #,##0.00_-;_-&quot;$&quot;* &quot;-&quot;??_-;_-@_-"/>
    </dxf>
    <dxf>
      <numFmt numFmtId="34" formatCode="_-&quot;$&quot;* #,##0.00_-;\-&quot;$&quot;* #,##0.00_-;_-&quot;$&quot;* &quot;-&quot;??_-;_-@_-"/>
    </dxf>
    <dxf>
      <numFmt numFmtId="34" formatCode="_-&quot;$&quot;* #,##0.00_-;\-&quot;$&quot;* #,##0.00_-;_-&quot;$&quot;* &quot;-&quot;??_-;_-@_-"/>
    </dxf>
    <dxf>
      <fill>
        <patternFill patternType="solid">
          <bgColor rgb="FF92D050"/>
        </patternFill>
      </fill>
    </dxf>
    <dxf>
      <fill>
        <patternFill patternType="solid">
          <bgColor rgb="FF92D050"/>
        </patternFill>
      </fill>
    </dxf>
    <dxf>
      <fill>
        <patternFill patternType="solid">
          <bgColor rgb="FF92D050"/>
        </patternFill>
      </fill>
    </dxf>
    <dxf>
      <fill>
        <patternFill patternType="none">
          <bgColor auto="1"/>
        </patternFill>
      </fill>
    </dxf>
    <dxf>
      <fill>
        <patternFill patternType="none">
          <bgColor auto="1"/>
        </patternFill>
      </fill>
    </dxf>
    <dxf>
      <numFmt numFmtId="34" formatCode="_-&quot;$&quot;* #,##0.00_-;\-&quot;$&quot;* #,##0.00_-;_-&quot;$&quot;* &quot;-&quot;??_-;_-@_-"/>
    </dxf>
    <dxf>
      <numFmt numFmtId="34" formatCode="_-&quot;$&quot;* #,##0.00_-;\-&quot;$&quot;* #,##0.00_-;_-&quot;$&quot;* &quot;-&quot;??_-;_-@_-"/>
    </dxf>
    <dxf>
      <fill>
        <patternFill patternType="solid">
          <bgColor rgb="FF92D050"/>
        </patternFill>
      </fill>
    </dxf>
    <dxf>
      <fill>
        <patternFill patternType="none">
          <bgColor auto="1"/>
        </patternFill>
      </fill>
    </dxf>
    <dxf>
      <fill>
        <patternFill patternType="none">
          <bgColor auto="1"/>
        </patternFill>
      </fill>
    </dxf>
    <dxf>
      <fill>
        <patternFill patternType="solid">
          <bgColor rgb="FF92D050"/>
        </patternFill>
      </fill>
    </dxf>
    <dxf>
      <fill>
        <patternFill patternType="solid">
          <bgColor rgb="FF92D050"/>
        </patternFill>
      </fill>
    </dxf>
    <dxf>
      <numFmt numFmtId="34" formatCode="_-&quot;$&quot;* #,##0.00_-;\-&quot;$&quot;* #,##0.00_-;_-&quot;$&quot;* &quot;-&quot;??_-;_-@_-"/>
    </dxf>
    <dxf>
      <numFmt numFmtId="34" formatCode="_-&quot;$&quot;* #,##0.00_-;\-&quot;$&quot;* #,##0.00_-;_-&quot;$&quot;* &quot;-&quot;??_-;_-@_-"/>
    </dxf>
    <dxf>
      <fill>
        <patternFill patternType="solid">
          <bgColor rgb="FF92D050"/>
        </patternFill>
      </fill>
    </dxf>
    <dxf>
      <fill>
        <patternFill patternType="none">
          <bgColor auto="1"/>
        </patternFill>
      </fill>
    </dxf>
    <dxf>
      <fill>
        <patternFill patternType="none">
          <bgColor auto="1"/>
        </patternFill>
      </fill>
    </dxf>
    <dxf>
      <fill>
        <patternFill patternType="solid">
          <bgColor rgb="FF92D050"/>
        </patternFill>
      </fill>
    </dxf>
    <dxf>
      <fill>
        <patternFill patternType="solid">
          <bgColor rgb="FF92D050"/>
        </patternFill>
      </fill>
    </dxf>
    <dxf>
      <numFmt numFmtId="34" formatCode="_-&quot;$&quot;* #,##0.00_-;\-&quot;$&quot;* #,##0.00_-;_-&quot;$&quot;* &quot;-&quot;??_-;_-@_-"/>
    </dxf>
    <dxf>
      <numFmt numFmtId="34" formatCode="_-&quot;$&quot;* #,##0.00_-;\-&quot;$&quot;* #,##0.00_-;_-&quot;$&quot;* &quot;-&quot;??_-;_-@_-"/>
    </dxf>
    <dxf>
      <numFmt numFmtId="34" formatCode="_-&quot;$&quot;* #,##0.00_-;\-&quot;$&quot;* #,##0.00_-;_-&quot;$&quot;* &quot;-&quot;??_-;_-@_-"/>
    </dxf>
    <dxf>
      <numFmt numFmtId="34" formatCode="_-&quot;$&quot;* #,##0.00_-;\-&quot;$&quot;* #,##0.00_-;_-&quot;$&quot;* &quot;-&quot;??_-;_-@_-"/>
    </dxf>
    <dxf>
      <numFmt numFmtId="34" formatCode="_-&quot;$&quot;* #,##0.00_-;\-&quot;$&quot;* #,##0.00_-;_-&quot;$&quot;* &quot;-&quot;??_-;_-@_-"/>
    </dxf>
    <dxf>
      <numFmt numFmtId="34" formatCode="_-&quot;$&quot;* #,##0.00_-;\-&quot;$&quot;* #,##0.00_-;_-&quot;$&quot;* &quot;-&quot;??_-;_-@_-"/>
    </dxf>
    <dxf>
      <fill>
        <patternFill patternType="solid">
          <bgColor rgb="FF92D050"/>
        </patternFill>
      </fill>
    </dxf>
    <dxf>
      <fill>
        <patternFill patternType="none">
          <bgColor auto="1"/>
        </patternFill>
      </fill>
    </dxf>
    <dxf>
      <fill>
        <patternFill patternType="none">
          <bgColor auto="1"/>
        </patternFill>
      </fill>
    </dxf>
    <dxf>
      <fill>
        <patternFill patternType="solid">
          <bgColor rgb="FF92D050"/>
        </patternFill>
      </fill>
    </dxf>
    <dxf>
      <fill>
        <patternFill patternType="solid">
          <bgColor rgb="FF92D050"/>
        </patternFill>
      </fill>
    </dxf>
    <dxf>
      <numFmt numFmtId="34" formatCode="_-&quot;$&quot;* #,##0.00_-;\-&quot;$&quot;* #,##0.00_-;_-&quot;$&quot;* &quot;-&quot;??_-;_-@_-"/>
    </dxf>
    <dxf>
      <numFmt numFmtId="34" formatCode="_-&quot;$&quot;* #,##0.00_-;\-&quot;$&quot;* #,##0.00_-;_-&quot;$&quot;* &quot;-&quot;??_-;_-@_-"/>
    </dxf>
    <dxf>
      <fill>
        <patternFill patternType="solid">
          <bgColor rgb="FF92D050"/>
        </patternFill>
      </fill>
    </dxf>
    <dxf>
      <fill>
        <patternFill patternType="solid">
          <bgColor rgb="FF92D050"/>
        </patternFill>
      </fill>
    </dxf>
    <dxf>
      <fill>
        <patternFill patternType="solid">
          <bgColor rgb="FF92D050"/>
        </patternFill>
      </fill>
    </dxf>
    <dxf>
      <fill>
        <patternFill patternType="none">
          <bgColor auto="1"/>
        </patternFill>
      </fill>
    </dxf>
    <dxf>
      <fill>
        <patternFill patternType="none">
          <bgColor auto="1"/>
        </patternFill>
      </fill>
    </dxf>
    <dxf>
      <numFmt numFmtId="34" formatCode="_-&quot;$&quot;* #,##0.00_-;\-&quot;$&quot;* #,##0.00_-;_-&quot;$&quot;* &quot;-&quot;??_-;_-@_-"/>
    </dxf>
    <dxf>
      <numFmt numFmtId="34" formatCode="_-&quot;$&quot;* #,##0.00_-;\-&quot;$&quot;* #,##0.00_-;_-&quot;$&quot;* &quot;-&quot;??_-;_-@_-"/>
    </dxf>
    <dxf>
      <numFmt numFmtId="34" formatCode="_-&quot;$&quot;* #,##0.00_-;\-&quot;$&quot;* #,##0.00_-;_-&quot;$&quot;* &quot;-&quot;??_-;_-@_-"/>
    </dxf>
    <dxf>
      <numFmt numFmtId="34" formatCode="_-&quot;$&quot;* #,##0.00_-;\-&quot;$&quot;* #,##0.00_-;_-&quot;$&quot;* &quot;-&quot;??_-;_-@_-"/>
    </dxf>
    <dxf>
      <numFmt numFmtId="34" formatCode="_-&quot;$&quot;* #,##0.00_-;\-&quot;$&quot;* #,##0.00_-;_-&quot;$&quot;* &quot;-&quot;??_-;_-@_-"/>
    </dxf>
    <dxf>
      <numFmt numFmtId="34" formatCode="_-&quot;$&quot;* #,##0.00_-;\-&quot;$&quot;* #,##0.00_-;_-&quot;$&quot;* &quot;-&quot;??_-;_-@_-"/>
    </dxf>
    <dxf>
      <numFmt numFmtId="34" formatCode="_-&quot;$&quot;* #,##0.00_-;\-&quot;$&quot;* #,##0.00_-;_-&quot;$&quot;* &quot;-&quot;??_-;_-@_-"/>
    </dxf>
    <dxf>
      <numFmt numFmtId="34" formatCode="_-&quot;$&quot;* #,##0.00_-;\-&quot;$&quot;* #,##0.00_-;_-&quot;$&quot;* &quot;-&quot;??_-;_-@_-"/>
    </dxf>
    <dxf>
      <numFmt numFmtId="34" formatCode="_-&quot;$&quot;* #,##0.00_-;\-&quot;$&quot;* #,##0.00_-;_-&quot;$&quot;* &quot;-&quot;??_-;_-@_-"/>
    </dxf>
    <dxf>
      <numFmt numFmtId="34" formatCode="_-&quot;$&quot;* #,##0.00_-;\-&quot;$&quot;* #,##0.00_-;_-&quot;$&quot;* &quot;-&quot;??_-;_-@_-"/>
    </dxf>
    <dxf>
      <numFmt numFmtId="34" formatCode="_-&quot;$&quot;* #,##0.00_-;\-&quot;$&quot;* #,##0.00_-;_-&quot;$&quot;* &quot;-&quot;??_-;_-@_-"/>
    </dxf>
    <dxf>
      <numFmt numFmtId="34" formatCode="_-&quot;$&quot;* #,##0.00_-;\-&quot;$&quot;* #,##0.00_-;_-&quot;$&quot;* &quot;-&quot;??_-;_-@_-"/>
    </dxf>
    <dxf>
      <numFmt numFmtId="34" formatCode="_-&quot;$&quot;* #,##0.00_-;\-&quot;$&quot;* #,##0.00_-;_-&quot;$&quot;* &quot;-&quot;??_-;_-@_-"/>
    </dxf>
    <dxf>
      <numFmt numFmtId="34" formatCode="_-&quot;$&quot;* #,##0.00_-;\-&quot;$&quot;* #,##0.00_-;_-&quot;$&quot;* &quot;-&quot;??_-;_-@_-"/>
    </dxf>
    <dxf>
      <numFmt numFmtId="34" formatCode="_-&quot;$&quot;* #,##0.00_-;\-&quot;$&quot;* #,##0.00_-;_-&quot;$&quot;* &quot;-&quot;??_-;_-@_-"/>
    </dxf>
    <dxf>
      <numFmt numFmtId="34" formatCode="_-&quot;$&quot;* #,##0.00_-;\-&quot;$&quot;* #,##0.00_-;_-&quot;$&quot;* &quot;-&quot;??_-;_-@_-"/>
    </dxf>
    <dxf>
      <numFmt numFmtId="34" formatCode="_-&quot;$&quot;* #,##0.00_-;\-&quot;$&quot;* #,##0.00_-;_-&quot;$&quot;* &quot;-&quot;??_-;_-@_-"/>
    </dxf>
    <dxf>
      <numFmt numFmtId="34" formatCode="_-&quot;$&quot;* #,##0.00_-;\-&quot;$&quot;* #,##0.00_-;_-&quot;$&quot;* &quot;-&quot;??_-;_-@_-"/>
    </dxf>
    <dxf>
      <numFmt numFmtId="34" formatCode="_-&quot;$&quot;* #,##0.00_-;\-&quot;$&quot;* #,##0.00_-;_-&quot;$&quot;* &quot;-&quot;??_-;_-@_-"/>
    </dxf>
    <dxf>
      <numFmt numFmtId="34" formatCode="_-&quot;$&quot;* #,##0.00_-;\-&quot;$&quot;* #,##0.00_-;_-&quot;$&quot;* &quot;-&quot;??_-;_-@_-"/>
    </dxf>
    <dxf>
      <numFmt numFmtId="34" formatCode="_-&quot;$&quot;* #,##0.00_-;\-&quot;$&quot;* #,##0.00_-;_-&quot;$&quot;* &quot;-&quot;??_-;_-@_-"/>
    </dxf>
    <dxf>
      <numFmt numFmtId="34" formatCode="_-&quot;$&quot;* #,##0.00_-;\-&quot;$&quot;* #,##0.00_-;_-&quot;$&quot;* &quot;-&quot;??_-;_-@_-"/>
    </dxf>
    <dxf>
      <numFmt numFmtId="34" formatCode="_-&quot;$&quot;* #,##0.00_-;\-&quot;$&quot;* #,##0.00_-;_-&quot;$&quot;* &quot;-&quot;??_-;_-@_-"/>
    </dxf>
    <dxf>
      <numFmt numFmtId="34" formatCode="_-&quot;$&quot;* #,##0.00_-;\-&quot;$&quot;* #,##0.00_-;_-&quot;$&quot;* &quot;-&quot;??_-;_-@_-"/>
    </dxf>
    <dxf>
      <numFmt numFmtId="34" formatCode="_-&quot;$&quot;* #,##0.00_-;\-&quot;$&quot;* #,##0.00_-;_-&quot;$&quot;* &quot;-&quot;??_-;_-@_-"/>
    </dxf>
    <dxf>
      <numFmt numFmtId="34" formatCode="_-&quot;$&quot;* #,##0.00_-;\-&quot;$&quot;* #,##0.00_-;_-&quot;$&quot;* &quot;-&quot;??_-;_-@_-"/>
    </dxf>
    <dxf>
      <numFmt numFmtId="34" formatCode="_-&quot;$&quot;* #,##0.00_-;\-&quot;$&quot;* #,##0.00_-;_-&quot;$&quot;* &quot;-&quot;??_-;_-@_-"/>
    </dxf>
    <dxf>
      <numFmt numFmtId="34" formatCode="_-&quot;$&quot;* #,##0.00_-;\-&quot;$&quot;* #,##0.00_-;_-&quot;$&quot;* &quot;-&quot;??_-;_-@_-"/>
    </dxf>
    <dxf>
      <numFmt numFmtId="34" formatCode="_-&quot;$&quot;* #,##0.00_-;\-&quot;$&quot;* #,##0.00_-;_-&quot;$&quot;* &quot;-&quot;??_-;_-@_-"/>
    </dxf>
    <dxf>
      <numFmt numFmtId="34" formatCode="_-&quot;$&quot;* #,##0.00_-;\-&quot;$&quot;* #,##0.00_-;_-&quot;$&quot;* &quot;-&quot;??_-;_-@_-"/>
    </dxf>
    <dxf>
      <numFmt numFmtId="34" formatCode="_-&quot;$&quot;* #,##0.00_-;\-&quot;$&quot;* #,##0.00_-;_-&quot;$&quot;* &quot;-&quot;??_-;_-@_-"/>
    </dxf>
    <dxf>
      <numFmt numFmtId="34" formatCode="_-&quot;$&quot;* #,##0.00_-;\-&quot;$&quot;* #,##0.00_-;_-&quot;$&quot;* &quot;-&quot;??_-;_-@_-"/>
    </dxf>
    <dxf>
      <numFmt numFmtId="34" formatCode="_-&quot;$&quot;* #,##0.00_-;\-&quot;$&quot;* #,##0.00_-;_-&quot;$&quot;* &quot;-&quot;??_-;_-@_-"/>
    </dxf>
    <dxf>
      <numFmt numFmtId="34" formatCode="_-&quot;$&quot;* #,##0.00_-;\-&quot;$&quot;* #,##0.00_-;_-&quot;$&quot;* &quot;-&quot;??_-;_-@_-"/>
    </dxf>
    <dxf>
      <numFmt numFmtId="34" formatCode="_-&quot;$&quot;* #,##0.00_-;\-&quot;$&quot;* #,##0.00_-;_-&quot;$&quot;* &quot;-&quot;??_-;_-@_-"/>
    </dxf>
    <dxf>
      <numFmt numFmtId="34" formatCode="_-&quot;$&quot;* #,##0.00_-;\-&quot;$&quot;* #,##0.00_-;_-&quot;$&quot;* &quot;-&quot;??_-;_-@_-"/>
    </dxf>
    <dxf>
      <numFmt numFmtId="34" formatCode="_-&quot;$&quot;* #,##0.00_-;\-&quot;$&quot;* #,##0.00_-;_-&quot;$&quot;* &quot;-&quot;??_-;_-@_-"/>
    </dxf>
    <dxf>
      <numFmt numFmtId="34" formatCode="_-&quot;$&quot;* #,##0.00_-;\-&quot;$&quot;* #,##0.00_-;_-&quot;$&quot;* &quot;-&quot;??_-;_-@_-"/>
    </dxf>
    <dxf>
      <numFmt numFmtId="34" formatCode="_-&quot;$&quot;* #,##0.00_-;\-&quot;$&quot;* #,##0.00_-;_-&quot;$&quot;* &quot;-&quot;??_-;_-@_-"/>
    </dxf>
    <dxf>
      <numFmt numFmtId="34" formatCode="_-&quot;$&quot;* #,##0.00_-;\-&quot;$&quot;* #,##0.00_-;_-&quot;$&quot;* &quot;-&quot;??_-;_-@_-"/>
    </dxf>
    <dxf>
      <numFmt numFmtId="34" formatCode="_-&quot;$&quot;* #,##0.00_-;\-&quot;$&quot;* #,##0.00_-;_-&quot;$&quot;* &quot;-&quot;??_-;_-@_-"/>
    </dxf>
    <dxf>
      <numFmt numFmtId="34" formatCode="_-&quot;$&quot;* #,##0.00_-;\-&quot;$&quot;* #,##0.00_-;_-&quot;$&quot;* &quot;-&quot;??_-;_-@_-"/>
    </dxf>
    <dxf>
      <numFmt numFmtId="34" formatCode="_-&quot;$&quot;* #,##0.00_-;\-&quot;$&quot;* #,##0.00_-;_-&quot;$&quot;* &quot;-&quot;??_-;_-@_-"/>
    </dxf>
    <dxf>
      <numFmt numFmtId="34" formatCode="_-&quot;$&quot;* #,##0.00_-;\-&quot;$&quot;* #,##0.00_-;_-&quot;$&quot;* &quot;-&quot;??_-;_-@_-"/>
    </dxf>
    <dxf>
      <numFmt numFmtId="34" formatCode="_-&quot;$&quot;* #,##0.00_-;\-&quot;$&quot;* #,##0.00_-;_-&quot;$&quot;* &quot;-&quot;??_-;_-@_-"/>
    </dxf>
    <dxf>
      <numFmt numFmtId="34" formatCode="_-&quot;$&quot;* #,##0.00_-;\-&quot;$&quot;* #,##0.00_-;_-&quot;$&quot;* &quot;-&quot;??_-;_-@_-"/>
    </dxf>
    <dxf>
      <numFmt numFmtId="34" formatCode="_-&quot;$&quot;* #,##0.00_-;\-&quot;$&quot;* #,##0.00_-;_-&quot;$&quot;* &quot;-&quot;??_-;_-@_-"/>
    </dxf>
    <dxf>
      <numFmt numFmtId="34" formatCode="_-&quot;$&quot;* #,##0.00_-;\-&quot;$&quot;* #,##0.00_-;_-&quot;$&quot;* &quot;-&quot;??_-;_-@_-"/>
    </dxf>
    <dxf>
      <numFmt numFmtId="34" formatCode="_-&quot;$&quot;* #,##0.00_-;\-&quot;$&quot;* #,##0.00_-;_-&quot;$&quot;* &quot;-&quot;??_-;_-@_-"/>
    </dxf>
    <dxf>
      <numFmt numFmtId="34" formatCode="_-&quot;$&quot;* #,##0.00_-;\-&quot;$&quot;* #,##0.00_-;_-&quot;$&quot;* &quot;-&quot;??_-;_-@_-"/>
    </dxf>
    <dxf>
      <numFmt numFmtId="34" formatCode="_-&quot;$&quot;* #,##0.00_-;\-&quot;$&quot;* #,##0.00_-;_-&quot;$&quot;* &quot;-&quot;??_-;_-@_-"/>
    </dxf>
    <dxf>
      <numFmt numFmtId="34" formatCode="_-&quot;$&quot;* #,##0.00_-;\-&quot;$&quot;* #,##0.00_-;_-&quot;$&quot;* &quot;-&quot;??_-;_-@_-"/>
    </dxf>
    <dxf>
      <numFmt numFmtId="34" formatCode="_-&quot;$&quot;* #,##0.00_-;\-&quot;$&quot;* #,##0.00_-;_-&quot;$&quot;* &quot;-&quot;??_-;_-@_-"/>
    </dxf>
    <dxf>
      <numFmt numFmtId="34" formatCode="_-&quot;$&quot;* #,##0.00_-;\-&quot;$&quot;* #,##0.00_-;_-&quot;$&quot;* &quot;-&quot;??_-;_-@_-"/>
    </dxf>
    <dxf>
      <numFmt numFmtId="34" formatCode="_-&quot;$&quot;* #,##0.00_-;\-&quot;$&quot;* #,##0.00_-;_-&quot;$&quot;* &quot;-&quot;??_-;_-@_-"/>
    </dxf>
    <dxf>
      <numFmt numFmtId="34" formatCode="_-&quot;$&quot;* #,##0.00_-;\-&quot;$&quot;* #,##0.00_-;_-&quot;$&quot;* &quot;-&quot;??_-;_-@_-"/>
    </dxf>
    <dxf>
      <numFmt numFmtId="34" formatCode="_-&quot;$&quot;* #,##0.00_-;\-&quot;$&quot;* #,##0.00_-;_-&quot;$&quot;* &quot;-&quot;??_-;_-@_-"/>
    </dxf>
    <dxf>
      <numFmt numFmtId="34" formatCode="_-&quot;$&quot;* #,##0.00_-;\-&quot;$&quot;* #,##0.00_-;_-&quot;$&quot;* &quot;-&quot;??_-;_-@_-"/>
    </dxf>
    <dxf>
      <numFmt numFmtId="34" formatCode="_-&quot;$&quot;* #,##0.00_-;\-&quot;$&quot;* #,##0.00_-;_-&quot;$&quot;* &quot;-&quot;??_-;_-@_-"/>
    </dxf>
    <dxf>
      <numFmt numFmtId="34" formatCode="_-&quot;$&quot;* #,##0.00_-;\-&quot;$&quot;* #,##0.00_-;_-&quot;$&quot;* &quot;-&quot;??_-;_-@_-"/>
    </dxf>
    <dxf>
      <numFmt numFmtId="34" formatCode="_-&quot;$&quot;* #,##0.00_-;\-&quot;$&quot;* #,##0.00_-;_-&quot;$&quot;* &quot;-&quot;??_-;_-@_-"/>
    </dxf>
    <dxf>
      <numFmt numFmtId="34" formatCode="_-&quot;$&quot;* #,##0.00_-;\-&quot;$&quot;* #,##0.00_-;_-&quot;$&quot;* &quot;-&quot;??_-;_-@_-"/>
    </dxf>
    <dxf>
      <numFmt numFmtId="34" formatCode="_-&quot;$&quot;* #,##0.00_-;\-&quot;$&quot;* #,##0.00_-;_-&quot;$&quot;* &quot;-&quot;??_-;_-@_-"/>
    </dxf>
    <dxf>
      <numFmt numFmtId="34" formatCode="_-&quot;$&quot;* #,##0.00_-;\-&quot;$&quot;* #,##0.00_-;_-&quot;$&quot;* &quot;-&quot;??_-;_-@_-"/>
    </dxf>
    <dxf>
      <numFmt numFmtId="34" formatCode="_-&quot;$&quot;* #,##0.00_-;\-&quot;$&quot;* #,##0.00_-;_-&quot;$&quot;* &quot;-&quot;??_-;_-@_-"/>
    </dxf>
    <dxf>
      <numFmt numFmtId="34" formatCode="_-&quot;$&quot;* #,##0.00_-;\-&quot;$&quot;* #,##0.00_-;_-&quot;$&quot;* &quot;-&quot;??_-;_-@_-"/>
    </dxf>
    <dxf>
      <numFmt numFmtId="34" formatCode="_-&quot;$&quot;* #,##0.00_-;\-&quot;$&quot;* #,##0.00_-;_-&quot;$&quot;* &quot;-&quot;??_-;_-@_-"/>
    </dxf>
    <dxf>
      <numFmt numFmtId="34" formatCode="_-&quot;$&quot;* #,##0.00_-;\-&quot;$&quot;* #,##0.00_-;_-&quot;$&quot;* &quot;-&quot;??_-;_-@_-"/>
    </dxf>
    <dxf>
      <numFmt numFmtId="34" formatCode="_-&quot;$&quot;* #,##0.00_-;\-&quot;$&quot;* #,##0.00_-;_-&quot;$&quot;* &quot;-&quot;??_-;_-@_-"/>
    </dxf>
    <dxf>
      <numFmt numFmtId="34" formatCode="_-&quot;$&quot;* #,##0.00_-;\-&quot;$&quot;* #,##0.00_-;_-&quot;$&quot;* &quot;-&quot;??_-;_-@_-"/>
    </dxf>
    <dxf>
      <numFmt numFmtId="34" formatCode="_-&quot;$&quot;* #,##0.00_-;\-&quot;$&quot;* #,##0.00_-;_-&quot;$&quot;* &quot;-&quot;??_-;_-@_-"/>
    </dxf>
    <dxf>
      <numFmt numFmtId="34" formatCode="_-&quot;$&quot;* #,##0.00_-;\-&quot;$&quot;* #,##0.00_-;_-&quot;$&quot;* &quot;-&quot;??_-;_-@_-"/>
    </dxf>
    <dxf>
      <numFmt numFmtId="34" formatCode="_-&quot;$&quot;* #,##0.00_-;\-&quot;$&quot;* #,##0.00_-;_-&quot;$&quot;* &quot;-&quot;??_-;_-@_-"/>
    </dxf>
    <dxf>
      <numFmt numFmtId="34" formatCode="_-&quot;$&quot;* #,##0.00_-;\-&quot;$&quot;* #,##0.00_-;_-&quot;$&quot;* &quot;-&quot;??_-;_-@_-"/>
    </dxf>
    <dxf>
      <numFmt numFmtId="34" formatCode="_-&quot;$&quot;* #,##0.00_-;\-&quot;$&quot;* #,##0.00_-;_-&quot;$&quot;* &quot;-&quot;??_-;_-@_-"/>
    </dxf>
    <dxf>
      <numFmt numFmtId="34" formatCode="_-&quot;$&quot;* #,##0.00_-;\-&quot;$&quot;* #,##0.00_-;_-&quot;$&quot;* &quot;-&quot;??_-;_-@_-"/>
    </dxf>
    <dxf>
      <numFmt numFmtId="34" formatCode="_-&quot;$&quot;* #,##0.00_-;\-&quot;$&quot;* #,##0.00_-;_-&quot;$&quot;* &quot;-&quot;??_-;_-@_-"/>
    </dxf>
    <dxf>
      <numFmt numFmtId="34" formatCode="_-&quot;$&quot;* #,##0.00_-;\-&quot;$&quot;* #,##0.00_-;_-&quot;$&quot;* &quot;-&quot;??_-;_-@_-"/>
    </dxf>
    <dxf>
      <numFmt numFmtId="34" formatCode="_-&quot;$&quot;* #,##0.00_-;\-&quot;$&quot;* #,##0.00_-;_-&quot;$&quot;* &quot;-&quot;??_-;_-@_-"/>
    </dxf>
    <dxf>
      <numFmt numFmtId="34" formatCode="_-&quot;$&quot;* #,##0.00_-;\-&quot;$&quot;* #,##0.00_-;_-&quot;$&quot;* &quot;-&quot;??_-;_-@_-"/>
    </dxf>
    <dxf>
      <numFmt numFmtId="34" formatCode="_-&quot;$&quot;* #,##0.00_-;\-&quot;$&quot;* #,##0.00_-;_-&quot;$&quot;* &quot;-&quot;??_-;_-@_-"/>
    </dxf>
    <dxf>
      <numFmt numFmtId="34" formatCode="_-&quot;$&quot;* #,##0.00_-;\-&quot;$&quot;* #,##0.00_-;_-&quot;$&quot;* &quot;-&quot;??_-;_-@_-"/>
    </dxf>
    <dxf>
      <numFmt numFmtId="34" formatCode="_-&quot;$&quot;* #,##0.00_-;\-&quot;$&quot;* #,##0.00_-;_-&quot;$&quot;* &quot;-&quot;??_-;_-@_-"/>
    </dxf>
    <dxf>
      <numFmt numFmtId="34" formatCode="_-&quot;$&quot;* #,##0.00_-;\-&quot;$&quot;* #,##0.00_-;_-&quot;$&quot;* &quot;-&quot;??_-;_-@_-"/>
    </dxf>
    <dxf>
      <numFmt numFmtId="34" formatCode="_-&quot;$&quot;* #,##0.00_-;\-&quot;$&quot;* #,##0.00_-;_-&quot;$&quot;* &quot;-&quot;??_-;_-@_-"/>
    </dxf>
    <dxf>
      <numFmt numFmtId="34" formatCode="_-&quot;$&quot;* #,##0.00_-;\-&quot;$&quot;* #,##0.00_-;_-&quot;$&quot;* &quot;-&quot;??_-;_-@_-"/>
    </dxf>
    <dxf>
      <numFmt numFmtId="34" formatCode="_-&quot;$&quot;* #,##0.00_-;\-&quot;$&quot;* #,##0.00_-;_-&quot;$&quot;* &quot;-&quot;??_-;_-@_-"/>
    </dxf>
    <dxf>
      <numFmt numFmtId="34" formatCode="_-&quot;$&quot;* #,##0.00_-;\-&quot;$&quot;* #,##0.00_-;_-&quot;$&quot;* &quot;-&quot;??_-;_-@_-"/>
    </dxf>
    <dxf>
      <numFmt numFmtId="34" formatCode="_-&quot;$&quot;* #,##0.00_-;\-&quot;$&quot;* #,##0.00_-;_-&quot;$&quot;* &quot;-&quot;??_-;_-@_-"/>
    </dxf>
    <dxf>
      <numFmt numFmtId="34" formatCode="_-&quot;$&quot;* #,##0.00_-;\-&quot;$&quot;* #,##0.00_-;_-&quot;$&quot;* &quot;-&quot;??_-;_-@_-"/>
    </dxf>
    <dxf>
      <numFmt numFmtId="34" formatCode="_-&quot;$&quot;* #,##0.00_-;\-&quot;$&quot;* #,##0.00_-;_-&quot;$&quot;* &quot;-&quot;??_-;_-@_-"/>
    </dxf>
    <dxf>
      <numFmt numFmtId="34" formatCode="_-&quot;$&quot;* #,##0.00_-;\-&quot;$&quot;* #,##0.00_-;_-&quot;$&quot;* &quot;-&quot;??_-;_-@_-"/>
    </dxf>
    <dxf>
      <numFmt numFmtId="34" formatCode="_-&quot;$&quot;* #,##0.00_-;\-&quot;$&quot;* #,##0.00_-;_-&quot;$&quot;* &quot;-&quot;??_-;_-@_-"/>
    </dxf>
    <dxf>
      <numFmt numFmtId="34" formatCode="_-&quot;$&quot;* #,##0.00_-;\-&quot;$&quot;* #,##0.00_-;_-&quot;$&quot;* &quot;-&quot;??_-;_-@_-"/>
    </dxf>
    <dxf>
      <numFmt numFmtId="34" formatCode="_-&quot;$&quot;* #,##0.00_-;\-&quot;$&quot;* #,##0.00_-;_-&quot;$&quot;* &quot;-&quot;??_-;_-@_-"/>
    </dxf>
    <dxf>
      <numFmt numFmtId="34" formatCode="_-&quot;$&quot;* #,##0.00_-;\-&quot;$&quot;* #,##0.00_-;_-&quot;$&quot;* &quot;-&quot;??_-;_-@_-"/>
    </dxf>
    <dxf>
      <numFmt numFmtId="34" formatCode="_-&quot;$&quot;* #,##0.00_-;\-&quot;$&quot;* #,##0.00_-;_-&quot;$&quot;* &quot;-&quot;??_-;_-@_-"/>
    </dxf>
    <dxf>
      <numFmt numFmtId="34" formatCode="_-&quot;$&quot;* #,##0.00_-;\-&quot;$&quot;* #,##0.00_-;_-&quot;$&quot;* &quot;-&quot;??_-;_-@_-"/>
    </dxf>
    <dxf>
      <numFmt numFmtId="34" formatCode="_-&quot;$&quot;* #,##0.00_-;\-&quot;$&quot;* #,##0.00_-;_-&quot;$&quot;* &quot;-&quot;??_-;_-@_-"/>
    </dxf>
    <dxf>
      <numFmt numFmtId="34" formatCode="_-&quot;$&quot;* #,##0.00_-;\-&quot;$&quot;* #,##0.00_-;_-&quot;$&quot;* &quot;-&quot;??_-;_-@_-"/>
    </dxf>
    <dxf>
      <numFmt numFmtId="34" formatCode="_-&quot;$&quot;* #,##0.00_-;\-&quot;$&quot;* #,##0.00_-;_-&quot;$&quot;* &quot;-&quot;??_-;_-@_-"/>
    </dxf>
    <dxf>
      <numFmt numFmtId="34" formatCode="_-&quot;$&quot;* #,##0.00_-;\-&quot;$&quot;* #,##0.00_-;_-&quot;$&quot;* &quot;-&quot;??_-;_-@_-"/>
    </dxf>
    <dxf>
      <numFmt numFmtId="34" formatCode="_-&quot;$&quot;* #,##0.00_-;\-&quot;$&quot;* #,##0.00_-;_-&quot;$&quot;* &quot;-&quot;??_-;_-@_-"/>
    </dxf>
    <dxf>
      <numFmt numFmtId="34" formatCode="_-&quot;$&quot;* #,##0.00_-;\-&quot;$&quot;* #,##0.00_-;_-&quot;$&quot;* &quot;-&quot;??_-;_-@_-"/>
    </dxf>
    <dxf>
      <numFmt numFmtId="34" formatCode="_-&quot;$&quot;* #,##0.00_-;\-&quot;$&quot;* #,##0.00_-;_-&quot;$&quot;* &quot;-&quot;??_-;_-@_-"/>
    </dxf>
    <dxf>
      <numFmt numFmtId="34" formatCode="_-&quot;$&quot;* #,##0.00_-;\-&quot;$&quot;* #,##0.00_-;_-&quot;$&quot;* &quot;-&quot;??_-;_-@_-"/>
    </dxf>
    <dxf>
      <numFmt numFmtId="34" formatCode="_-&quot;$&quot;* #,##0.00_-;\-&quot;$&quot;* #,##0.00_-;_-&quot;$&quot;* &quot;-&quot;??_-;_-@_-"/>
    </dxf>
    <dxf>
      <numFmt numFmtId="34" formatCode="_-&quot;$&quot;* #,##0.00_-;\-&quot;$&quot;* #,##0.00_-;_-&quot;$&quot;* &quot;-&quot;??_-;_-@_-"/>
    </dxf>
    <dxf>
      <numFmt numFmtId="34" formatCode="_-&quot;$&quot;* #,##0.00_-;\-&quot;$&quot;* #,##0.00_-;_-&quot;$&quot;* &quot;-&quot;??_-;_-@_-"/>
    </dxf>
    <dxf>
      <numFmt numFmtId="34" formatCode="_-&quot;$&quot;* #,##0.00_-;\-&quot;$&quot;* #,##0.00_-;_-&quot;$&quot;* &quot;-&quot;??_-;_-@_-"/>
    </dxf>
    <dxf>
      <numFmt numFmtId="34" formatCode="_-&quot;$&quot;* #,##0.00_-;\-&quot;$&quot;* #,##0.00_-;_-&quot;$&quot;* &quot;-&quot;??_-;_-@_-"/>
    </dxf>
    <dxf>
      <numFmt numFmtId="34" formatCode="_-&quot;$&quot;* #,##0.00_-;\-&quot;$&quot;* #,##0.00_-;_-&quot;$&quot;* &quot;-&quot;??_-;_-@_-"/>
    </dxf>
    <dxf>
      <numFmt numFmtId="34" formatCode="_-&quot;$&quot;* #,##0.00_-;\-&quot;$&quot;* #,##0.00_-;_-&quot;$&quot;* &quot;-&quot;??_-;_-@_-"/>
    </dxf>
    <dxf>
      <numFmt numFmtId="34" formatCode="_-&quot;$&quot;* #,##0.00_-;\-&quot;$&quot;* #,##0.00_-;_-&quot;$&quot;* &quot;-&quot;??_-;_-@_-"/>
    </dxf>
    <dxf>
      <fill>
        <patternFill patternType="solid">
          <bgColor rgb="FF92D050"/>
        </patternFill>
      </fill>
    </dxf>
    <dxf>
      <fill>
        <patternFill patternType="solid">
          <bgColor rgb="FF92D050"/>
        </patternFill>
      </fill>
    </dxf>
    <dxf>
      <fill>
        <patternFill patternType="solid">
          <bgColor rgb="FF92D050"/>
        </patternFill>
      </fill>
    </dxf>
    <dxf>
      <fill>
        <patternFill patternType="none">
          <bgColor auto="1"/>
        </patternFill>
      </fill>
    </dxf>
    <dxf>
      <fill>
        <patternFill patternType="none">
          <bgColor auto="1"/>
        </patternFill>
      </fill>
    </dxf>
    <dxf>
      <numFmt numFmtId="34" formatCode="_-&quot;$&quot;* #,##0.00_-;\-&quot;$&quot;* #,##0.00_-;_-&quot;$&quot;* &quot;-&quot;??_-;_-@_-"/>
    </dxf>
    <dxf>
      <numFmt numFmtId="34" formatCode="_-&quot;$&quot;* #,##0.00_-;\-&quot;$&quot;* #,##0.00_-;_-&quot;$&quot;* &quot;-&quot;??_-;_-@_-"/>
    </dxf>
    <dxf>
      <numFmt numFmtId="34" formatCode="_-&quot;$&quot;* #,##0.00_-;\-&quot;$&quot;* #,##0.00_-;_-&quot;$&quot;* &quot;-&quot;??_-;_-@_-"/>
    </dxf>
    <dxf>
      <numFmt numFmtId="34" formatCode="_-&quot;$&quot;* #,##0.00_-;\-&quot;$&quot;* #,##0.00_-;_-&quot;$&quot;* &quot;-&quot;??_-;_-@_-"/>
    </dxf>
    <dxf>
      <numFmt numFmtId="34" formatCode="_-&quot;$&quot;* #,##0.00_-;\-&quot;$&quot;* #,##0.00_-;_-&quot;$&quot;* &quot;-&quot;??_-;_-@_-"/>
    </dxf>
    <dxf>
      <numFmt numFmtId="34" formatCode="_-&quot;$&quot;* #,##0.00_-;\-&quot;$&quot;* #,##0.00_-;_-&quot;$&quot;* &quot;-&quot;??_-;_-@_-"/>
    </dxf>
    <dxf>
      <fill>
        <patternFill patternType="solid">
          <bgColor rgb="FF92D050"/>
        </patternFill>
      </fill>
    </dxf>
    <dxf>
      <fill>
        <patternFill patternType="none">
          <bgColor auto="1"/>
        </patternFill>
      </fill>
    </dxf>
    <dxf>
      <fill>
        <patternFill patternType="none">
          <bgColor auto="1"/>
        </patternFill>
      </fill>
    </dxf>
    <dxf>
      <fill>
        <patternFill patternType="solid">
          <bgColor rgb="FF92D050"/>
        </patternFill>
      </fill>
    </dxf>
    <dxf>
      <fill>
        <patternFill patternType="solid">
          <bgColor rgb="FF92D050"/>
        </patternFill>
      </fill>
    </dxf>
    <dxf>
      <numFmt numFmtId="34" formatCode="_-&quot;$&quot;* #,##0.00_-;\-&quot;$&quot;* #,##0.00_-;_-&quot;$&quot;* &quot;-&quot;??_-;_-@_-"/>
    </dxf>
    <dxf>
      <numFmt numFmtId="34" formatCode="_-&quot;$&quot;* #,##0.00_-;\-&quot;$&quot;* #,##0.00_-;_-&quot;$&quot;* &quot;-&quot;??_-;_-@_-"/>
    </dxf>
    <dxf>
      <numFmt numFmtId="34" formatCode="_-&quot;$&quot;* #,##0.00_-;\-&quot;$&quot;* #,##0.00_-;_-&quot;$&quot;* &quot;-&quot;??_-;_-@_-"/>
    </dxf>
    <dxf>
      <numFmt numFmtId="34" formatCode="_-&quot;$&quot;* #,##0.00_-;\-&quot;$&quot;* #,##0.00_-;_-&quot;$&quot;* &quot;-&quot;??_-;_-@_-"/>
    </dxf>
    <dxf>
      <numFmt numFmtId="0" formatCode="General"/>
    </dxf>
    <dxf>
      <numFmt numFmtId="34" formatCode="_-&quot;$&quot;* #,##0.00_-;\-&quot;$&quot;* #,##0.00_-;_-&quot;$&quot;* &quot;-&quot;??_-;_-@_-"/>
    </dxf>
    <dxf>
      <numFmt numFmtId="34" formatCode="_-&quot;$&quot;* #,##0.00_-;\-&quot;$&quot;* #,##0.00_-;_-&quot;$&quot;* &quot;-&quot;??_-;_-@_-"/>
    </dxf>
    <dxf>
      <numFmt numFmtId="34" formatCode="_-&quot;$&quot;* #,##0.00_-;\-&quot;$&quot;* #,##0.00_-;_-&quot;$&quot;* &quot;-&quot;??_-;_-@_-"/>
    </dxf>
    <dxf>
      <numFmt numFmtId="34" formatCode="_-&quot;$&quot;* #,##0.00_-;\-&quot;$&quot;* #,##0.00_-;_-&quot;$&quot;* &quot;-&quot;??_-;_-@_-"/>
    </dxf>
    <dxf>
      <numFmt numFmtId="0" formatCode="General"/>
    </dxf>
    <dxf>
      <font>
        <b val="0"/>
        <i val="0"/>
        <strike val="0"/>
        <condense val="0"/>
        <extend val="0"/>
        <outline val="0"/>
        <shadow val="0"/>
        <u val="none"/>
        <vertAlign val="baseline"/>
        <sz val="10"/>
        <color rgb="FF000000"/>
        <name val="Arial"/>
        <scheme val="none"/>
      </font>
      <numFmt numFmtId="4" formatCode="#,##0.00"/>
      <alignment horizontal="general" vertical="bottom" textRotation="0" wrapText="0" indent="0" justifyLastLine="0" shrinkToFit="0" readingOrder="0"/>
    </dxf>
    <dxf>
      <numFmt numFmtId="34" formatCode="_-&quot;$&quot;* #,##0.00_-;\-&quot;$&quot;* #,##0.00_-;_-&quot;$&quot;* &quot;-&quot;??_-;_-@_-"/>
    </dxf>
    <dxf>
      <numFmt numFmtId="34" formatCode="_-&quot;$&quot;* #,##0.00_-;\-&quot;$&quot;* #,##0.00_-;_-&quot;$&quot;* &quot;-&quot;??_-;_-@_-"/>
    </dxf>
    <dxf>
      <numFmt numFmtId="34" formatCode="_-&quot;$&quot;* #,##0.00_-;\-&quot;$&quot;* #,##0.00_-;_-&quot;$&quot;* &quot;-&quot;??_-;_-@_-"/>
    </dxf>
    <dxf>
      <numFmt numFmtId="0" formatCode="General"/>
    </dxf>
    <dxf>
      <font>
        <b val="0"/>
        <i val="0"/>
        <strike val="0"/>
        <condense val="0"/>
        <extend val="0"/>
        <outline val="0"/>
        <shadow val="0"/>
        <u val="none"/>
        <vertAlign val="baseline"/>
        <sz val="10"/>
        <color rgb="FF000000"/>
        <name val="Arial"/>
        <scheme val="none"/>
      </font>
      <numFmt numFmtId="4" formatCode="#,##0.00"/>
      <alignment horizontal="general" vertical="bottom" textRotation="0" wrapText="0" indent="0" justifyLastLine="0" shrinkToFit="0" readingOrder="0"/>
    </dxf>
    <dxf>
      <numFmt numFmtId="34" formatCode="_-&quot;$&quot;* #,##0.00_-;\-&quot;$&quot;* #,##0.00_-;_-&quot;$&quot;* &quot;-&quot;??_-;_-@_-"/>
    </dxf>
    <dxf>
      <numFmt numFmtId="34" formatCode="_-&quot;$&quot;* #,##0.00_-;\-&quot;$&quot;* #,##0.00_-;_-&quot;$&quot;* &quot;-&quot;??_-;_-@_-"/>
    </dxf>
    <dxf>
      <numFmt numFmtId="34" formatCode="_-&quot;$&quot;* #,##0.00_-;\-&quot;$&quot;* #,##0.00_-;_-&quot;$&quot;* &quot;-&quot;??_-;_-@_-"/>
    </dxf>
    <dxf>
      <numFmt numFmtId="0" formatCode="General"/>
    </dxf>
    <dxf>
      <numFmt numFmtId="34" formatCode="_-&quot;$&quot;* #,##0.00_-;\-&quot;$&quot;* #,##0.00_-;_-&quot;$&quot;* &quot;-&quot;??_-;_-@_-"/>
    </dxf>
    <dxf>
      <numFmt numFmtId="34" formatCode="_-&quot;$&quot;* #,##0.00_-;\-&quot;$&quot;* #,##0.00_-;_-&quot;$&quot;* &quot;-&quot;??_-;_-@_-"/>
    </dxf>
    <dxf>
      <numFmt numFmtId="34" formatCode="_-&quot;$&quot;* #,##0.00_-;\-&quot;$&quot;* #,##0.00_-;_-&quot;$&quot;* &quot;-&quot;??_-;_-@_-"/>
    </dxf>
    <dxf>
      <numFmt numFmtId="34" formatCode="_-&quot;$&quot;* #,##0.00_-;\-&quot;$&quot;* #,##0.00_-;_-&quot;$&quot;* &quot;-&quot;??_-;_-@_-"/>
    </dxf>
    <dxf>
      <numFmt numFmtId="34" formatCode="_-&quot;$&quot;* #,##0.00_-;\-&quot;$&quot;* #,##0.00_-;_-&quot;$&quot;* &quot;-&quot;??_-;_-@_-"/>
    </dxf>
    <dxf>
      <numFmt numFmtId="34" formatCode="_-&quot;$&quot;* #,##0.00_-;\-&quot;$&quot;* #,##0.00_-;_-&quot;$&quot;* &quot;-&quot;??_-;_-@_-"/>
    </dxf>
    <dxf>
      <numFmt numFmtId="34" formatCode="_-&quot;$&quot;* #,##0.00_-;\-&quot;$&quot;* #,##0.00_-;_-&quot;$&quot;* &quot;-&quot;??_-;_-@_-"/>
    </dxf>
    <dxf>
      <numFmt numFmtId="34" formatCode="_-&quot;$&quot;* #,##0.00_-;\-&quot;$&quot;* #,##0.00_-;_-&quot;$&quot;* &quot;-&quot;??_-;_-@_-"/>
    </dxf>
    <dxf>
      <numFmt numFmtId="34" formatCode="_-&quot;$&quot;* #,##0.00_-;\-&quot;$&quot;* #,##0.00_-;_-&quot;$&quot;* &quot;-&quot;??_-;_-@_-"/>
    </dxf>
    <dxf>
      <numFmt numFmtId="34" formatCode="_-&quot;$&quot;* #,##0.00_-;\-&quot;$&quot;* #,##0.00_-;_-&quot;$&quot;* &quot;-&quot;??_-;_-@_-"/>
    </dxf>
    <dxf>
      <numFmt numFmtId="34" formatCode="_-&quot;$&quot;* #,##0.00_-;\-&quot;$&quot;* #,##0.00_-;_-&quot;$&quot;* &quot;-&quot;??_-;_-@_-"/>
    </dxf>
    <dxf>
      <numFmt numFmtId="34" formatCode="_-&quot;$&quot;* #,##0.00_-;\-&quot;$&quot;* #,##0.00_-;_-&quot;$&quot;* &quot;-&quot;??_-;_-@_-"/>
    </dxf>
    <dxf>
      <numFmt numFmtId="34" formatCode="_-&quot;$&quot;* #,##0.00_-;\-&quot;$&quot;* #,##0.00_-;_-&quot;$&quot;* &quot;-&quot;??_-;_-@_-"/>
    </dxf>
    <dxf>
      <numFmt numFmtId="34" formatCode="_-&quot;$&quot;* #,##0.00_-;\-&quot;$&quot;* #,##0.00_-;_-&quot;$&quot;* &quot;-&quot;??_-;_-@_-"/>
    </dxf>
    <dxf>
      <numFmt numFmtId="34" formatCode="_-&quot;$&quot;* #,##0.00_-;\-&quot;$&quot;* #,##0.00_-;_-&quot;$&quot;* &quot;-&quot;??_-;_-@_-"/>
    </dxf>
    <dxf>
      <numFmt numFmtId="34" formatCode="_-&quot;$&quot;* #,##0.00_-;\-&quot;$&quot;* #,##0.00_-;_-&quot;$&quot;* &quot;-&quot;??_-;_-@_-"/>
    </dxf>
    <dxf>
      <numFmt numFmtId="34" formatCode="_-&quot;$&quot;* #,##0.00_-;\-&quot;$&quot;* #,##0.00_-;_-&quot;$&quot;* &quot;-&quot;??_-;_-@_-"/>
    </dxf>
    <dxf>
      <numFmt numFmtId="34" formatCode="_-&quot;$&quot;* #,##0.00_-;\-&quot;$&quot;* #,##0.00_-;_-&quot;$&quot;* &quot;-&quot;??_-;_-@_-"/>
    </dxf>
    <dxf>
      <numFmt numFmtId="34" formatCode="_-&quot;$&quot;* #,##0.00_-;\-&quot;$&quot;* #,##0.00_-;_-&quot;$&quot;* &quot;-&quot;??_-;_-@_-"/>
    </dxf>
    <dxf>
      <numFmt numFmtId="34" formatCode="_-&quot;$&quot;* #,##0.00_-;\-&quot;$&quot;* #,##0.00_-;_-&quot;$&quot;* &quot;-&quot;??_-;_-@_-"/>
    </dxf>
    <dxf>
      <numFmt numFmtId="34" formatCode="_-&quot;$&quot;* #,##0.00_-;\-&quot;$&quot;* #,##0.00_-;_-&quot;$&quot;* &quot;-&quot;??_-;_-@_-"/>
    </dxf>
    <dxf>
      <numFmt numFmtId="34" formatCode="_-&quot;$&quot;* #,##0.00_-;\-&quot;$&quot;* #,##0.00_-;_-&quot;$&quot;* &quot;-&quot;??_-;_-@_-"/>
    </dxf>
    <dxf>
      <numFmt numFmtId="34" formatCode="_-&quot;$&quot;* #,##0.00_-;\-&quot;$&quot;* #,##0.00_-;_-&quot;$&quot;* &quot;-&quot;??_-;_-@_-"/>
    </dxf>
    <dxf>
      <numFmt numFmtId="34" formatCode="_-&quot;$&quot;* #,##0.00_-;\-&quot;$&quot;* #,##0.00_-;_-&quot;$&quot;* &quot;-&quot;??_-;_-@_-"/>
    </dxf>
    <dxf>
      <numFmt numFmtId="34" formatCode="_-&quot;$&quot;* #,##0.00_-;\-&quot;$&quot;* #,##0.00_-;_-&quot;$&quot;* &quot;-&quot;??_-;_-@_-"/>
    </dxf>
    <dxf>
      <numFmt numFmtId="34" formatCode="_-&quot;$&quot;* #,##0.00_-;\-&quot;$&quot;* #,##0.00_-;_-&quot;$&quot;* &quot;-&quot;??_-;_-@_-"/>
    </dxf>
    <dxf>
      <numFmt numFmtId="34" formatCode="_-&quot;$&quot;* #,##0.00_-;\-&quot;$&quot;* #,##0.00_-;_-&quot;$&quot;* &quot;-&quot;??_-;_-@_-"/>
    </dxf>
    <dxf>
      <numFmt numFmtId="34" formatCode="_-&quot;$&quot;* #,##0.00_-;\-&quot;$&quot;* #,##0.00_-;_-&quot;$&quot;* &quot;-&quot;??_-;_-@_-"/>
    </dxf>
    <dxf>
      <numFmt numFmtId="34" formatCode="_-&quot;$&quot;* #,##0.00_-;\-&quot;$&quot;* #,##0.00_-;_-&quot;$&quot;* &quot;-&quot;??_-;_-@_-"/>
    </dxf>
    <dxf>
      <numFmt numFmtId="34" formatCode="_-&quot;$&quot;* #,##0.00_-;\-&quot;$&quot;* #,##0.00_-;_-&quot;$&quot;* &quot;-&quot;??_-;_-@_-"/>
    </dxf>
    <dxf>
      <numFmt numFmtId="34" formatCode="_-&quot;$&quot;* #,##0.00_-;\-&quot;$&quot;* #,##0.00_-;_-&quot;$&quot;* &quot;-&quot;??_-;_-@_-"/>
    </dxf>
    <dxf>
      <numFmt numFmtId="34" formatCode="_-&quot;$&quot;* #,##0.00_-;\-&quot;$&quot;* #,##0.00_-;_-&quot;$&quot;* &quot;-&quot;??_-;_-@_-"/>
    </dxf>
    <dxf>
      <numFmt numFmtId="34" formatCode="_-&quot;$&quot;* #,##0.00_-;\-&quot;$&quot;* #,##0.00_-;_-&quot;$&quot;* &quot;-&quot;??_-;_-@_-"/>
    </dxf>
    <dxf>
      <numFmt numFmtId="34" formatCode="_-&quot;$&quot;* #,##0.00_-;\-&quot;$&quot;* #,##0.00_-;_-&quot;$&quot;* &quot;-&quot;??_-;_-@_-"/>
    </dxf>
    <dxf>
      <numFmt numFmtId="34" formatCode="_-&quot;$&quot;* #,##0.00_-;\-&quot;$&quot;* #,##0.00_-;_-&quot;$&quot;* &quot;-&quot;??_-;_-@_-"/>
    </dxf>
    <dxf>
      <numFmt numFmtId="34" formatCode="_-&quot;$&quot;* #,##0.00_-;\-&quot;$&quot;* #,##0.00_-;_-&quot;$&quot;* &quot;-&quot;??_-;_-@_-"/>
    </dxf>
    <dxf>
      <numFmt numFmtId="34" formatCode="_-&quot;$&quot;* #,##0.00_-;\-&quot;$&quot;* #,##0.00_-;_-&quot;$&quot;* &quot;-&quot;??_-;_-@_-"/>
    </dxf>
    <dxf>
      <numFmt numFmtId="34" formatCode="_-&quot;$&quot;* #,##0.00_-;\-&quot;$&quot;* #,##0.00_-;_-&quot;$&quot;* &quot;-&quot;??_-;_-@_-"/>
    </dxf>
    <dxf>
      <numFmt numFmtId="34" formatCode="_-&quot;$&quot;* #,##0.00_-;\-&quot;$&quot;* #,##0.00_-;_-&quot;$&quot;* &quot;-&quot;??_-;_-@_-"/>
    </dxf>
    <dxf>
      <numFmt numFmtId="34" formatCode="_-&quot;$&quot;* #,##0.00_-;\-&quot;$&quot;* #,##0.00_-;_-&quot;$&quot;* &quot;-&quot;??_-;_-@_-"/>
    </dxf>
    <dxf>
      <numFmt numFmtId="34" formatCode="_-&quot;$&quot;* #,##0.00_-;\-&quot;$&quot;* #,##0.00_-;_-&quot;$&quot;* &quot;-&quot;??_-;_-@_-"/>
    </dxf>
    <dxf>
      <numFmt numFmtId="34" formatCode="_-&quot;$&quot;* #,##0.00_-;\-&quot;$&quot;* #,##0.00_-;_-&quot;$&quot;* &quot;-&quot;??_-;_-@_-"/>
    </dxf>
    <dxf>
      <numFmt numFmtId="34" formatCode="_-&quot;$&quot;* #,##0.00_-;\-&quot;$&quot;* #,##0.00_-;_-&quot;$&quot;* &quot;-&quot;??_-;_-@_-"/>
    </dxf>
    <dxf>
      <numFmt numFmtId="34" formatCode="_-&quot;$&quot;* #,##0.00_-;\-&quot;$&quot;* #,##0.00_-;_-&quot;$&quot;* &quot;-&quot;??_-;_-@_-"/>
    </dxf>
    <dxf>
      <numFmt numFmtId="34" formatCode="_-&quot;$&quot;* #,##0.00_-;\-&quot;$&quot;* #,##0.00_-;_-&quot;$&quot;* &quot;-&quot;??_-;_-@_-"/>
    </dxf>
    <dxf>
      <fill>
        <patternFill patternType="solid">
          <bgColor rgb="FF92D050"/>
        </patternFill>
      </fill>
    </dxf>
    <dxf>
      <fill>
        <patternFill patternType="solid">
          <bgColor rgb="FF92D050"/>
        </patternFill>
      </fill>
    </dxf>
    <dxf>
      <fill>
        <patternFill patternType="none">
          <bgColor auto="1"/>
        </patternFill>
      </fill>
    </dxf>
    <dxf>
      <fill>
        <patternFill patternType="none">
          <bgColor auto="1"/>
        </patternFill>
      </fill>
    </dxf>
    <dxf>
      <fill>
        <patternFill patternType="solid">
          <bgColor rgb="FF92D050"/>
        </patternFill>
      </fill>
    </dxf>
    <dxf>
      <numFmt numFmtId="34" formatCode="_-&quot;$&quot;* #,##0.00_-;\-&quot;$&quot;* #,##0.00_-;_-&quot;$&quot;* &quot;-&quot;??_-;_-@_-"/>
    </dxf>
    <dxf>
      <numFmt numFmtId="34" formatCode="_-&quot;$&quot;* #,##0.00_-;\-&quot;$&quot;* #,##0.00_-;_-&quot;$&quot;* &quot;-&quot;??_-;_-@_-"/>
    </dxf>
    <dxf>
      <fill>
        <patternFill patternType="none">
          <bgColor auto="1"/>
        </patternFill>
      </fill>
    </dxf>
    <dxf>
      <fill>
        <patternFill patternType="none">
          <bgColor auto="1"/>
        </patternFill>
      </fill>
    </dxf>
    <dxf>
      <fill>
        <patternFill patternType="solid">
          <bgColor rgb="FF92D050"/>
        </patternFill>
      </fill>
    </dxf>
    <dxf>
      <fill>
        <patternFill patternType="solid">
          <bgColor rgb="FF92D050"/>
        </patternFill>
      </fill>
    </dxf>
    <dxf>
      <fill>
        <patternFill patternType="solid">
          <bgColor rgb="FF92D050"/>
        </patternFill>
      </fill>
    </dxf>
    <dxf>
      <numFmt numFmtId="34" formatCode="_-&quot;$&quot;* #,##0.00_-;\-&quot;$&quot;* #,##0.00_-;_-&quot;$&quot;* &quot;-&quot;??_-;_-@_-"/>
    </dxf>
    <dxf>
      <numFmt numFmtId="34" formatCode="_-&quot;$&quot;* #,##0.00_-;\-&quot;$&quot;* #,##0.00_-;_-&quot;$&quot;* &quot;-&quot;??_-;_-@_-"/>
    </dxf>
    <dxf>
      <numFmt numFmtId="34" formatCode="_-&quot;$&quot;* #,##0.00_-;\-&quot;$&quot;* #,##0.00_-;_-&quot;$&quot;* &quot;-&quot;??_-;_-@_-"/>
    </dxf>
    <dxf>
      <numFmt numFmtId="34" formatCode="_-&quot;$&quot;* #,##0.00_-;\-&quot;$&quot;* #,##0.00_-;_-&quot;$&quot;* &quot;-&quot;??_-;_-@_-"/>
    </dxf>
    <dxf>
      <numFmt numFmtId="34" formatCode="_-&quot;$&quot;* #,##0.00_-;\-&quot;$&quot;* #,##0.00_-;_-&quot;$&quot;* &quot;-&quot;??_-;_-@_-"/>
    </dxf>
    <dxf>
      <numFmt numFmtId="34" formatCode="_-&quot;$&quot;* #,##0.00_-;\-&quot;$&quot;* #,##0.00_-;_-&quot;$&quot;* &quot;-&quot;??_-;_-@_-"/>
    </dxf>
    <dxf>
      <numFmt numFmtId="34" formatCode="_-&quot;$&quot;* #,##0.00_-;\-&quot;$&quot;* #,##0.00_-;_-&quot;$&quot;* &quot;-&quot;??_-;_-@_-"/>
    </dxf>
    <dxf>
      <numFmt numFmtId="34" formatCode="_-&quot;$&quot;* #,##0.00_-;\-&quot;$&quot;* #,##0.00_-;_-&quot;$&quot;* &quot;-&quot;??_-;_-@_-"/>
    </dxf>
    <dxf>
      <numFmt numFmtId="34" formatCode="_-&quot;$&quot;* #,##0.00_-;\-&quot;$&quot;* #,##0.00_-;_-&quot;$&quot;* &quot;-&quot;??_-;_-@_-"/>
    </dxf>
    <dxf>
      <numFmt numFmtId="34" formatCode="_-&quot;$&quot;* #,##0.00_-;\-&quot;$&quot;* #,##0.00_-;_-&quot;$&quot;* &quot;-&quot;??_-;_-@_-"/>
    </dxf>
    <dxf>
      <numFmt numFmtId="34" formatCode="_-&quot;$&quot;* #,##0.00_-;\-&quot;$&quot;* #,##0.00_-;_-&quot;$&quot;* &quot;-&quot;??_-;_-@_-"/>
    </dxf>
    <dxf>
      <numFmt numFmtId="34" formatCode="_-&quot;$&quot;* #,##0.00_-;\-&quot;$&quot;* #,##0.00_-;_-&quot;$&quot;* &quot;-&quot;??_-;_-@_-"/>
    </dxf>
    <dxf>
      <numFmt numFmtId="34" formatCode="_-&quot;$&quot;* #,##0.00_-;\-&quot;$&quot;* #,##0.00_-;_-&quot;$&quot;* &quot;-&quot;??_-;_-@_-"/>
    </dxf>
    <dxf>
      <numFmt numFmtId="34" formatCode="_-&quot;$&quot;* #,##0.00_-;\-&quot;$&quot;* #,##0.00_-;_-&quot;$&quot;* &quot;-&quot;??_-;_-@_-"/>
    </dxf>
    <dxf>
      <numFmt numFmtId="34" formatCode="_-&quot;$&quot;* #,##0.00_-;\-&quot;$&quot;* #,##0.00_-;_-&quot;$&quot;* &quot;-&quot;??_-;_-@_-"/>
    </dxf>
    <dxf>
      <numFmt numFmtId="34" formatCode="_-&quot;$&quot;* #,##0.00_-;\-&quot;$&quot;* #,##0.00_-;_-&quot;$&quot;* &quot;-&quot;??_-;_-@_-"/>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pivotCacheDefinition" Target="pivotCache/pivotCacheDefinition1.xml"/><Relationship Id="rId26" Type="http://schemas.openxmlformats.org/officeDocument/2006/relationships/pivotCacheDefinition" Target="pivotCache/pivotCacheDefinition9.xml"/><Relationship Id="rId3" Type="http://schemas.openxmlformats.org/officeDocument/2006/relationships/worksheet" Target="worksheets/sheet3.xml"/><Relationship Id="rId21" Type="http://schemas.openxmlformats.org/officeDocument/2006/relationships/pivotCacheDefinition" Target="pivotCache/pivotCacheDefinition4.xml"/><Relationship Id="rId34" Type="http://schemas.openxmlformats.org/officeDocument/2006/relationships/pivotCacheDefinition" Target="pivotCache/pivotCacheDefinition17.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pivotCacheDefinition" Target="pivotCache/pivotCacheDefinition8.xml"/><Relationship Id="rId33" Type="http://schemas.openxmlformats.org/officeDocument/2006/relationships/pivotCacheDefinition" Target="pivotCache/pivotCacheDefinition16.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pivotCacheDefinition" Target="pivotCache/pivotCacheDefinition3.xml"/><Relationship Id="rId29" Type="http://schemas.openxmlformats.org/officeDocument/2006/relationships/pivotCacheDefinition" Target="pivotCache/pivotCacheDefinition1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pivotCacheDefinition" Target="pivotCache/pivotCacheDefinition7.xml"/><Relationship Id="rId32" Type="http://schemas.openxmlformats.org/officeDocument/2006/relationships/pivotCacheDefinition" Target="pivotCache/pivotCacheDefinition15.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pivotCacheDefinition" Target="pivotCache/pivotCacheDefinition6.xml"/><Relationship Id="rId28" Type="http://schemas.openxmlformats.org/officeDocument/2006/relationships/pivotCacheDefinition" Target="pivotCache/pivotCacheDefinition11.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pivotCacheDefinition" Target="pivotCache/pivotCacheDefinition2.xml"/><Relationship Id="rId31" Type="http://schemas.openxmlformats.org/officeDocument/2006/relationships/pivotCacheDefinition" Target="pivotCache/pivotCacheDefinition1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pivotCacheDefinition" Target="pivotCache/pivotCacheDefinition5.xml"/><Relationship Id="rId27" Type="http://schemas.openxmlformats.org/officeDocument/2006/relationships/pivotCacheDefinition" Target="pivotCache/pivotCacheDefinition10.xml"/><Relationship Id="rId30" Type="http://schemas.openxmlformats.org/officeDocument/2006/relationships/pivotCacheDefinition" Target="pivotCache/pivotCacheDefinition13.xml"/><Relationship Id="rId35"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CA"/>
              <a:t>Revenues</a:t>
            </a:r>
            <a:r>
              <a:rPr lang="en-CA" baseline="0"/>
              <a:t> By Class</a:t>
            </a:r>
            <a:endParaRPr lang="en-CA"/>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1-877B-44DD-847E-5BB6BCC4B115}"/>
              </c:ext>
            </c:extLst>
          </c:dPt>
          <c:dPt>
            <c:idx val="1"/>
            <c:bubble3D val="0"/>
            <c:spPr>
              <a:solidFill>
                <a:schemeClr val="accent4"/>
              </a:solidFill>
              <a:ln w="25400">
                <a:solidFill>
                  <a:schemeClr val="lt1"/>
                </a:solidFill>
              </a:ln>
              <a:effectLst/>
              <a:sp3d contourW="25400">
                <a:contourClr>
                  <a:schemeClr val="lt1"/>
                </a:contourClr>
              </a:sp3d>
            </c:spPr>
            <c:extLst>
              <c:ext xmlns:c16="http://schemas.microsoft.com/office/drawing/2014/chart" uri="{C3380CC4-5D6E-409C-BE32-E72D297353CC}">
                <c16:uniqueId val="{00000003-877B-44DD-847E-5BB6BCC4B115}"/>
              </c:ext>
            </c:extLst>
          </c:dPt>
          <c:dPt>
            <c:idx val="2"/>
            <c:bubble3D val="0"/>
            <c:spPr>
              <a:solidFill>
                <a:schemeClr val="accent6"/>
              </a:solidFill>
              <a:ln w="25400">
                <a:solidFill>
                  <a:schemeClr val="lt1"/>
                </a:solidFill>
              </a:ln>
              <a:effectLst/>
              <a:sp3d contourW="25400">
                <a:contourClr>
                  <a:schemeClr val="lt1"/>
                </a:contourClr>
              </a:sp3d>
            </c:spPr>
            <c:extLst>
              <c:ext xmlns:c16="http://schemas.microsoft.com/office/drawing/2014/chart" uri="{C3380CC4-5D6E-409C-BE32-E72D297353CC}">
                <c16:uniqueId val="{00000005-877B-44DD-847E-5BB6BCC4B115}"/>
              </c:ext>
            </c:extLst>
          </c:dPt>
          <c:dPt>
            <c:idx val="3"/>
            <c:bubble3D val="0"/>
            <c:spPr>
              <a:solidFill>
                <a:schemeClr val="accent2">
                  <a:lumMod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7-877B-44DD-847E-5BB6BCC4B115}"/>
              </c:ext>
            </c:extLst>
          </c:dPt>
          <c:dPt>
            <c:idx val="4"/>
            <c:bubble3D val="0"/>
            <c:spPr>
              <a:solidFill>
                <a:schemeClr val="accent4">
                  <a:lumMod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9-877B-44DD-847E-5BB6BCC4B115}"/>
              </c:ext>
            </c:extLst>
          </c:dPt>
          <c:dPt>
            <c:idx val="5"/>
            <c:bubble3D val="0"/>
            <c:spPr>
              <a:solidFill>
                <a:schemeClr val="accent6">
                  <a:lumMod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B-877B-44DD-847E-5BB6BCC4B115}"/>
              </c:ext>
            </c:extLst>
          </c:dPt>
          <c:dPt>
            <c:idx val="6"/>
            <c:bubble3D val="0"/>
            <c:spPr>
              <a:solidFill>
                <a:schemeClr val="accent2">
                  <a:lumMod val="80000"/>
                  <a:lumOff val="2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D-877B-44DD-847E-5BB6BCC4B115}"/>
              </c:ext>
            </c:extLst>
          </c:dPt>
          <c:dPt>
            <c:idx val="7"/>
            <c:bubble3D val="0"/>
            <c:spPr>
              <a:solidFill>
                <a:schemeClr val="accent4">
                  <a:lumMod val="80000"/>
                  <a:lumOff val="2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F-877B-44DD-847E-5BB6BCC4B115}"/>
              </c:ext>
            </c:extLst>
          </c:dPt>
          <c:dPt>
            <c:idx val="8"/>
            <c:bubble3D val="0"/>
            <c:spPr>
              <a:solidFill>
                <a:schemeClr val="accent6">
                  <a:lumMod val="80000"/>
                  <a:lumOff val="2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11-877B-44DD-847E-5BB6BCC4B115}"/>
              </c:ext>
            </c:extLst>
          </c:dPt>
          <c:dPt>
            <c:idx val="9"/>
            <c:bubble3D val="0"/>
            <c:spPr>
              <a:solidFill>
                <a:schemeClr val="accent2">
                  <a:lumMod val="8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13-877B-44DD-847E-5BB6BCC4B115}"/>
              </c:ext>
            </c:extLst>
          </c:dPt>
          <c:cat>
            <c:strRef>
              <c:f>'2) AUS Operating Summary'!$A$6:$A$15</c:f>
              <c:strCache>
                <c:ptCount val="10"/>
                <c:pt idx="0">
                  <c:v>President</c:v>
                </c:pt>
                <c:pt idx="1">
                  <c:v>VP External </c:v>
                </c:pt>
                <c:pt idx="2">
                  <c:v>VP Finance</c:v>
                </c:pt>
                <c:pt idx="3">
                  <c:v>VP Internal </c:v>
                </c:pt>
                <c:pt idx="4">
                  <c:v>VP Academic</c:v>
                </c:pt>
                <c:pt idx="5">
                  <c:v>VP Communications</c:v>
                </c:pt>
                <c:pt idx="6">
                  <c:v> VP Social</c:v>
                </c:pt>
                <c:pt idx="7">
                  <c:v>VP Services</c:v>
                </c:pt>
                <c:pt idx="8">
                  <c:v>Frosh Revenues </c:v>
                </c:pt>
                <c:pt idx="9">
                  <c:v>Departments</c:v>
                </c:pt>
              </c:strCache>
            </c:strRef>
          </c:cat>
          <c:val>
            <c:numRef>
              <c:f>'2) AUS Operating Summary'!$B$6:$B$15</c:f>
              <c:numCache>
                <c:formatCode>_("$"* #,##0.00_);_("$"* \(#,##0.00\);_("$"* "-"??_);_(@_)</c:formatCode>
                <c:ptCount val="10"/>
                <c:pt idx="0" formatCode="_(&quot;$&quot;* #,##0.00_);_(&quot;$&quot;* \(#,##0.00\);_(&quot;$&quot;* &quot;-&quot;??_);_(@_)">
                  <c:v>0</c:v>
                </c:pt>
                <c:pt idx="1">
                  <c:v>26500</c:v>
                </c:pt>
                <c:pt idx="2" formatCode="_(&quot;$&quot;* #,##0.00_);_(&quot;$&quot;* \(#,##0.00\);_(&quot;$&quot;* &quot;-&quot;??_);_(@_)">
                  <c:v>555778.86</c:v>
                </c:pt>
                <c:pt idx="3" formatCode="_(&quot;$&quot;* #,##0.00_);_(&quot;$&quot;* \(#,##0.00\);_(&quot;$&quot;* &quot;-&quot;??_);_(@_)">
                  <c:v>1500</c:v>
                </c:pt>
                <c:pt idx="4" formatCode="_(&quot;$&quot;* #,##0.00_);_(&quot;$&quot;* \(#,##0.00\);_(&quot;$&quot;* &quot;-&quot;??_);_(@_)">
                  <c:v>0</c:v>
                </c:pt>
                <c:pt idx="5" formatCode="_(&quot;$&quot;* #,##0.00_);_(&quot;$&quot;* \(#,##0.00\);_(&quot;$&quot;* &quot;-&quot;??_);_(@_)">
                  <c:v>30000</c:v>
                </c:pt>
                <c:pt idx="6" formatCode="_(&quot;$&quot;* #,##0.00_);_(&quot;$&quot;* \(#,##0.00\);_(&quot;$&quot;* &quot;-&quot;??_);_(@_)">
                  <c:v>153500</c:v>
                </c:pt>
                <c:pt idx="7" formatCode="_(&quot;$&quot;* #,##0.00_);_(&quot;$&quot;* \(#,##0.00\);_(&quot;$&quot;* &quot;-&quot;??_);_(@_)">
                  <c:v>10000</c:v>
                </c:pt>
                <c:pt idx="8" formatCode="_(&quot;$&quot;* #,##0.00_);_(&quot;$&quot;* \(#,##0.00\);_(&quot;$&quot;* &quot;-&quot;??_);_(@_)">
                  <c:v>275165.88</c:v>
                </c:pt>
                <c:pt idx="9" formatCode="_(&quot;$&quot;* #,##0.00_);_(&quot;$&quot;* \(#,##0.00\);_(&quot;$&quot;* &quot;-&quot;??_);_(@_)">
                  <c:v>55430.65</c:v>
                </c:pt>
              </c:numCache>
            </c:numRef>
          </c:val>
          <c:extLst>
            <c:ext xmlns:c16="http://schemas.microsoft.com/office/drawing/2014/chart" uri="{C3380CC4-5D6E-409C-BE32-E72D297353CC}">
              <c16:uniqueId val="{00000000-580D-46A5-A387-0C84E4D73992}"/>
            </c:ext>
          </c:extLst>
        </c:ser>
        <c:dLbls>
          <c:showLegendKey val="0"/>
          <c:showVal val="0"/>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CA"/>
              <a:t>Expenses by Class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
          <c:y val="0.18097222222222226"/>
          <c:w val="1"/>
          <c:h val="0.47643299795858851"/>
        </c:manualLayout>
      </c:layout>
      <c:pie3DChart>
        <c:varyColors val="1"/>
        <c:ser>
          <c:idx val="0"/>
          <c:order val="0"/>
          <c:dPt>
            <c:idx val="0"/>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1-736E-4DD1-867B-AE1CD5AC1D00}"/>
              </c:ext>
            </c:extLst>
          </c:dPt>
          <c:dPt>
            <c:idx val="1"/>
            <c:bubble3D val="0"/>
            <c:spPr>
              <a:solidFill>
                <a:schemeClr val="accent4"/>
              </a:solidFill>
              <a:ln w="25400">
                <a:solidFill>
                  <a:schemeClr val="lt1"/>
                </a:solidFill>
              </a:ln>
              <a:effectLst/>
              <a:sp3d contourW="25400">
                <a:contourClr>
                  <a:schemeClr val="lt1"/>
                </a:contourClr>
              </a:sp3d>
            </c:spPr>
            <c:extLst>
              <c:ext xmlns:c16="http://schemas.microsoft.com/office/drawing/2014/chart" uri="{C3380CC4-5D6E-409C-BE32-E72D297353CC}">
                <c16:uniqueId val="{00000003-736E-4DD1-867B-AE1CD5AC1D00}"/>
              </c:ext>
            </c:extLst>
          </c:dPt>
          <c:dPt>
            <c:idx val="2"/>
            <c:bubble3D val="0"/>
            <c:spPr>
              <a:solidFill>
                <a:schemeClr val="accent6"/>
              </a:solidFill>
              <a:ln w="25400">
                <a:solidFill>
                  <a:schemeClr val="lt1"/>
                </a:solidFill>
              </a:ln>
              <a:effectLst/>
              <a:sp3d contourW="25400">
                <a:contourClr>
                  <a:schemeClr val="lt1"/>
                </a:contourClr>
              </a:sp3d>
            </c:spPr>
            <c:extLst>
              <c:ext xmlns:c16="http://schemas.microsoft.com/office/drawing/2014/chart" uri="{C3380CC4-5D6E-409C-BE32-E72D297353CC}">
                <c16:uniqueId val="{00000005-736E-4DD1-867B-AE1CD5AC1D00}"/>
              </c:ext>
            </c:extLst>
          </c:dPt>
          <c:dPt>
            <c:idx val="3"/>
            <c:bubble3D val="0"/>
            <c:spPr>
              <a:solidFill>
                <a:schemeClr val="accent2">
                  <a:lumMod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7-736E-4DD1-867B-AE1CD5AC1D00}"/>
              </c:ext>
            </c:extLst>
          </c:dPt>
          <c:dPt>
            <c:idx val="4"/>
            <c:bubble3D val="0"/>
            <c:spPr>
              <a:solidFill>
                <a:schemeClr val="accent4">
                  <a:lumMod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9-736E-4DD1-867B-AE1CD5AC1D00}"/>
              </c:ext>
            </c:extLst>
          </c:dPt>
          <c:dPt>
            <c:idx val="5"/>
            <c:bubble3D val="0"/>
            <c:spPr>
              <a:solidFill>
                <a:schemeClr val="accent6">
                  <a:lumMod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B-736E-4DD1-867B-AE1CD5AC1D00}"/>
              </c:ext>
            </c:extLst>
          </c:dPt>
          <c:dPt>
            <c:idx val="6"/>
            <c:bubble3D val="0"/>
            <c:spPr>
              <a:solidFill>
                <a:schemeClr val="accent2">
                  <a:lumMod val="80000"/>
                  <a:lumOff val="2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D-736E-4DD1-867B-AE1CD5AC1D00}"/>
              </c:ext>
            </c:extLst>
          </c:dPt>
          <c:dPt>
            <c:idx val="7"/>
            <c:bubble3D val="0"/>
            <c:spPr>
              <a:solidFill>
                <a:schemeClr val="accent4">
                  <a:lumMod val="80000"/>
                  <a:lumOff val="2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F-736E-4DD1-867B-AE1CD5AC1D00}"/>
              </c:ext>
            </c:extLst>
          </c:dPt>
          <c:dPt>
            <c:idx val="8"/>
            <c:bubble3D val="0"/>
            <c:spPr>
              <a:solidFill>
                <a:schemeClr val="accent6">
                  <a:lumMod val="80000"/>
                  <a:lumOff val="2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11-736E-4DD1-867B-AE1CD5AC1D00}"/>
              </c:ext>
            </c:extLst>
          </c:dPt>
          <c:dPt>
            <c:idx val="9"/>
            <c:bubble3D val="0"/>
            <c:spPr>
              <a:solidFill>
                <a:schemeClr val="accent2">
                  <a:lumMod val="8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13-736E-4DD1-867B-AE1CD5AC1D00}"/>
              </c:ext>
            </c:extLst>
          </c:dPt>
          <c:dPt>
            <c:idx val="10"/>
            <c:bubble3D val="0"/>
            <c:spPr>
              <a:solidFill>
                <a:schemeClr val="accent4">
                  <a:lumMod val="8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15-736E-4DD1-867B-AE1CD5AC1D00}"/>
              </c:ext>
            </c:extLst>
          </c:dPt>
          <c:cat>
            <c:strRef>
              <c:f>'2) AUS Operating Summary'!$A$21:$A$31</c:f>
              <c:strCache>
                <c:ptCount val="11"/>
                <c:pt idx="0">
                  <c:v>Departments</c:v>
                </c:pt>
                <c:pt idx="1">
                  <c:v>President </c:v>
                </c:pt>
                <c:pt idx="2">
                  <c:v>VP External </c:v>
                </c:pt>
                <c:pt idx="3">
                  <c:v>VP Finance</c:v>
                </c:pt>
                <c:pt idx="4">
                  <c:v>VP Internal </c:v>
                </c:pt>
                <c:pt idx="5">
                  <c:v>VP Academic</c:v>
                </c:pt>
                <c:pt idx="6">
                  <c:v>VP Services</c:v>
                </c:pt>
                <c:pt idx="7">
                  <c:v>VP Communications</c:v>
                </c:pt>
                <c:pt idx="8">
                  <c:v>VP Social</c:v>
                </c:pt>
                <c:pt idx="9">
                  <c:v>Frosh Expenses</c:v>
                </c:pt>
                <c:pt idx="10">
                  <c:v>Stipends and Wages </c:v>
                </c:pt>
              </c:strCache>
            </c:strRef>
          </c:cat>
          <c:val>
            <c:numRef>
              <c:f>'2) AUS Operating Summary'!$B$21:$B$31</c:f>
              <c:numCache>
                <c:formatCode>_("$"* #,##0.00_);_("$"* \(#,##0.00\);_("$"* "-"??_);_(@_)</c:formatCode>
                <c:ptCount val="11"/>
                <c:pt idx="0">
                  <c:v>88255.07</c:v>
                </c:pt>
                <c:pt idx="1">
                  <c:v>21240</c:v>
                </c:pt>
                <c:pt idx="2" formatCode="_(&quot;$&quot;* #,##0.00_);_(&quot;$&quot;* \(#,##0.00\);_(&quot;$&quot;* &quot;-&quot;??_);_(@_)">
                  <c:v>12900</c:v>
                </c:pt>
                <c:pt idx="3">
                  <c:v>321982.68000000005</c:v>
                </c:pt>
                <c:pt idx="4">
                  <c:v>22860</c:v>
                </c:pt>
                <c:pt idx="5">
                  <c:v>7400</c:v>
                </c:pt>
                <c:pt idx="6">
                  <c:v>2150</c:v>
                </c:pt>
                <c:pt idx="7">
                  <c:v>44426.74</c:v>
                </c:pt>
                <c:pt idx="8">
                  <c:v>139000</c:v>
                </c:pt>
                <c:pt idx="9" formatCode="_-&quot;$&quot;* #,##0.00_-;\-&quot;$&quot;* #,##0.00_-;_-&quot;$&quot;* &quot;-&quot;??_-;_-@">
                  <c:v>270282</c:v>
                </c:pt>
                <c:pt idx="10" formatCode="_-&quot;$&quot;* #,##0.00_-;\-&quot;$&quot;* #,##0.00_-;_-&quot;$&quot;* &quot;-&quot;??_-;_-@">
                  <c:v>187648</c:v>
                </c:pt>
              </c:numCache>
            </c:numRef>
          </c:val>
          <c:extLst>
            <c:ext xmlns:c16="http://schemas.microsoft.com/office/drawing/2014/chart" uri="{C3380CC4-5D6E-409C-BE32-E72D297353CC}">
              <c16:uniqueId val="{00000000-44A0-4305-9C5C-F6D55C04596B}"/>
            </c:ext>
          </c:extLst>
        </c:ser>
        <c:dLbls>
          <c:showLegendKey val="0"/>
          <c:showVal val="0"/>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AUS Operations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'13) Future Outlook'!$A$7</c:f>
              <c:strCache>
                <c:ptCount val="1"/>
                <c:pt idx="0">
                  <c:v>Revenue Amount </c:v>
                </c:pt>
              </c:strCache>
            </c:strRef>
          </c:tx>
          <c:spPr>
            <a:ln w="28575" cap="rnd">
              <a:solidFill>
                <a:schemeClr val="accent1"/>
              </a:solidFill>
              <a:round/>
            </a:ln>
            <a:effectLst/>
          </c:spPr>
          <c:marker>
            <c:symbol val="none"/>
          </c:marker>
          <c:cat>
            <c:multiLvlStrRef>
              <c:f>'13) Future Outlook'!$B$4:$N$6</c:f>
              <c:multiLvlStrCache>
                <c:ptCount val="13"/>
                <c:lvl>
                  <c:pt idx="0">
                    <c:v>2012</c:v>
                  </c:pt>
                  <c:pt idx="1">
                    <c:v>2013</c:v>
                  </c:pt>
                  <c:pt idx="2">
                    <c:v>2014</c:v>
                  </c:pt>
                  <c:pt idx="3">
                    <c:v>2015</c:v>
                  </c:pt>
                  <c:pt idx="4">
                    <c:v>2016</c:v>
                  </c:pt>
                  <c:pt idx="5">
                    <c:v>2017</c:v>
                  </c:pt>
                  <c:pt idx="6">
                    <c:v>2018</c:v>
                  </c:pt>
                  <c:pt idx="7">
                    <c:v>2019</c:v>
                  </c:pt>
                  <c:pt idx="8">
                    <c:v>2020</c:v>
                  </c:pt>
                  <c:pt idx="9">
                    <c:v>2021</c:v>
                  </c:pt>
                  <c:pt idx="10">
                    <c:v>2022</c:v>
                  </c:pt>
                  <c:pt idx="11">
                    <c:v>2023</c:v>
                  </c:pt>
                  <c:pt idx="12">
                    <c:v>2024</c:v>
                  </c:pt>
                </c:lvl>
                <c:lvl>
                  <c:pt idx="8">
                    <c:v>Projected </c:v>
                  </c:pt>
                </c:lvl>
              </c:multiLvlStrCache>
            </c:multiLvlStrRef>
          </c:cat>
          <c:val>
            <c:numRef>
              <c:f>'13) Future Outlook'!$B$7:$N$7</c:f>
              <c:numCache>
                <c:formatCode>_("$"* #,##0.00_);_("$"* \(#,##0.00\);_("$"* "-"??_);_(@_)</c:formatCode>
                <c:ptCount val="13"/>
                <c:pt idx="0">
                  <c:v>632156</c:v>
                </c:pt>
                <c:pt idx="1">
                  <c:v>757547</c:v>
                </c:pt>
                <c:pt idx="2">
                  <c:v>800977</c:v>
                </c:pt>
                <c:pt idx="3">
                  <c:v>785316</c:v>
                </c:pt>
                <c:pt idx="4">
                  <c:v>833653</c:v>
                </c:pt>
                <c:pt idx="5">
                  <c:v>863699</c:v>
                </c:pt>
                <c:pt idx="6">
                  <c:v>931150</c:v>
                </c:pt>
                <c:pt idx="7">
                  <c:v>1070194</c:v>
                </c:pt>
                <c:pt idx="8">
                  <c:v>1107875.3899999999</c:v>
                </c:pt>
                <c:pt idx="9">
                  <c:v>1115962.6293620144</c:v>
                </c:pt>
                <c:pt idx="10">
                  <c:v>1082277.2590410141</c:v>
                </c:pt>
                <c:pt idx="11">
                  <c:v>1306858.6613066886</c:v>
                </c:pt>
                <c:pt idx="12">
                  <c:v>1272731.8699570741</c:v>
                </c:pt>
              </c:numCache>
            </c:numRef>
          </c:val>
          <c:smooth val="0"/>
          <c:extLst>
            <c:ext xmlns:c16="http://schemas.microsoft.com/office/drawing/2014/chart" uri="{C3380CC4-5D6E-409C-BE32-E72D297353CC}">
              <c16:uniqueId val="{00000000-CF57-4CC3-A4FE-8A599F741955}"/>
            </c:ext>
          </c:extLst>
        </c:ser>
        <c:ser>
          <c:idx val="1"/>
          <c:order val="1"/>
          <c:tx>
            <c:strRef>
              <c:f>'13) Future Outlook'!$A$8</c:f>
              <c:strCache>
                <c:ptCount val="1"/>
                <c:pt idx="0">
                  <c:v>Expense Amount </c:v>
                </c:pt>
              </c:strCache>
            </c:strRef>
          </c:tx>
          <c:spPr>
            <a:ln w="28575" cap="rnd">
              <a:solidFill>
                <a:schemeClr val="accent2"/>
              </a:solidFill>
              <a:round/>
            </a:ln>
            <a:effectLst/>
          </c:spPr>
          <c:marker>
            <c:symbol val="none"/>
          </c:marker>
          <c:cat>
            <c:multiLvlStrRef>
              <c:f>'13) Future Outlook'!$B$4:$N$6</c:f>
              <c:multiLvlStrCache>
                <c:ptCount val="13"/>
                <c:lvl>
                  <c:pt idx="0">
                    <c:v>2012</c:v>
                  </c:pt>
                  <c:pt idx="1">
                    <c:v>2013</c:v>
                  </c:pt>
                  <c:pt idx="2">
                    <c:v>2014</c:v>
                  </c:pt>
                  <c:pt idx="3">
                    <c:v>2015</c:v>
                  </c:pt>
                  <c:pt idx="4">
                    <c:v>2016</c:v>
                  </c:pt>
                  <c:pt idx="5">
                    <c:v>2017</c:v>
                  </c:pt>
                  <c:pt idx="6">
                    <c:v>2018</c:v>
                  </c:pt>
                  <c:pt idx="7">
                    <c:v>2019</c:v>
                  </c:pt>
                  <c:pt idx="8">
                    <c:v>2020</c:v>
                  </c:pt>
                  <c:pt idx="9">
                    <c:v>2021</c:v>
                  </c:pt>
                  <c:pt idx="10">
                    <c:v>2022</c:v>
                  </c:pt>
                  <c:pt idx="11">
                    <c:v>2023</c:v>
                  </c:pt>
                  <c:pt idx="12">
                    <c:v>2024</c:v>
                  </c:pt>
                </c:lvl>
                <c:lvl>
                  <c:pt idx="8">
                    <c:v>Projected </c:v>
                  </c:pt>
                </c:lvl>
              </c:multiLvlStrCache>
            </c:multiLvlStrRef>
          </c:cat>
          <c:val>
            <c:numRef>
              <c:f>'13) Future Outlook'!$B$8:$N$8</c:f>
              <c:numCache>
                <c:formatCode>_("$"* #,##0.00_);_("$"* \(#,##0.00\);_("$"* "-"??_);_(@_)</c:formatCode>
                <c:ptCount val="13"/>
                <c:pt idx="0">
                  <c:v>631409</c:v>
                </c:pt>
                <c:pt idx="1">
                  <c:v>714791</c:v>
                </c:pt>
                <c:pt idx="2">
                  <c:v>643731</c:v>
                </c:pt>
                <c:pt idx="3">
                  <c:v>799206</c:v>
                </c:pt>
                <c:pt idx="4">
                  <c:v>802456</c:v>
                </c:pt>
                <c:pt idx="5">
                  <c:v>834823</c:v>
                </c:pt>
                <c:pt idx="6">
                  <c:v>933065</c:v>
                </c:pt>
                <c:pt idx="7">
                  <c:v>933065</c:v>
                </c:pt>
                <c:pt idx="8">
                  <c:v>1118144.49</c:v>
                </c:pt>
                <c:pt idx="9">
                  <c:v>1042519.35841484</c:v>
                </c:pt>
                <c:pt idx="10">
                  <c:v>1196910.8162081006</c:v>
                </c:pt>
                <c:pt idx="11">
                  <c:v>1146281.2741592193</c:v>
                </c:pt>
                <c:pt idx="12">
                  <c:v>1300672.7319524798</c:v>
                </c:pt>
              </c:numCache>
            </c:numRef>
          </c:val>
          <c:smooth val="0"/>
          <c:extLst>
            <c:ext xmlns:c16="http://schemas.microsoft.com/office/drawing/2014/chart" uri="{C3380CC4-5D6E-409C-BE32-E72D297353CC}">
              <c16:uniqueId val="{00000001-CF57-4CC3-A4FE-8A599F741955}"/>
            </c:ext>
          </c:extLst>
        </c:ser>
        <c:dLbls>
          <c:showLegendKey val="0"/>
          <c:showVal val="0"/>
          <c:showCatName val="0"/>
          <c:showSerName val="0"/>
          <c:showPercent val="0"/>
          <c:showBubbleSize val="0"/>
        </c:dLbls>
        <c:smooth val="0"/>
        <c:axId val="668190360"/>
        <c:axId val="668191672"/>
      </c:lineChart>
      <c:catAx>
        <c:axId val="6681903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8191672"/>
        <c:crosses val="autoZero"/>
        <c:auto val="1"/>
        <c:lblAlgn val="ctr"/>
        <c:lblOffset val="100"/>
        <c:noMultiLvlLbl val="0"/>
      </c:catAx>
      <c:valAx>
        <c:axId val="668191672"/>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00_);_(&quot;$&quot;* \(#,##0.0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81903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'14) Revenue Projections'!$B$1</c:f>
              <c:strCache>
                <c:ptCount val="1"/>
                <c:pt idx="0">
                  <c:v>Revenue Amount </c:v>
                </c:pt>
              </c:strCache>
            </c:strRef>
          </c:tx>
          <c:spPr>
            <a:ln w="28575" cap="rnd">
              <a:solidFill>
                <a:schemeClr val="accent1"/>
              </a:solidFill>
              <a:round/>
            </a:ln>
            <a:effectLst/>
          </c:spPr>
          <c:marker>
            <c:symbol val="none"/>
          </c:marker>
          <c:val>
            <c:numRef>
              <c:f>'14) Revenue Projections'!$B$2:$B$14</c:f>
              <c:numCache>
                <c:formatCode>_("$"* #,##0.00_);_("$"* \(#,##0.00\);_("$"* "-"??_);_(@_)</c:formatCode>
                <c:ptCount val="13"/>
                <c:pt idx="0">
                  <c:v>632156</c:v>
                </c:pt>
                <c:pt idx="1">
                  <c:v>757547</c:v>
                </c:pt>
                <c:pt idx="2">
                  <c:v>800977</c:v>
                </c:pt>
                <c:pt idx="3">
                  <c:v>785316</c:v>
                </c:pt>
                <c:pt idx="4">
                  <c:v>833653</c:v>
                </c:pt>
                <c:pt idx="5">
                  <c:v>863699</c:v>
                </c:pt>
                <c:pt idx="6">
                  <c:v>931150</c:v>
                </c:pt>
                <c:pt idx="7">
                  <c:v>1070194</c:v>
                </c:pt>
                <c:pt idx="8">
                  <c:v>1094733.51</c:v>
                </c:pt>
              </c:numCache>
            </c:numRef>
          </c:val>
          <c:smooth val="0"/>
          <c:extLst>
            <c:ext xmlns:c16="http://schemas.microsoft.com/office/drawing/2014/chart" uri="{C3380CC4-5D6E-409C-BE32-E72D297353CC}">
              <c16:uniqueId val="{00000000-6D63-4853-ABDE-5963796FB10C}"/>
            </c:ext>
          </c:extLst>
        </c:ser>
        <c:ser>
          <c:idx val="1"/>
          <c:order val="1"/>
          <c:tx>
            <c:strRef>
              <c:f>'14) Revenue Projections'!$C$1</c:f>
              <c:strCache>
                <c:ptCount val="1"/>
                <c:pt idx="0">
                  <c:v>Forecast(Revenue Amount )</c:v>
                </c:pt>
              </c:strCache>
            </c:strRef>
          </c:tx>
          <c:spPr>
            <a:ln w="25400" cap="rnd">
              <a:solidFill>
                <a:schemeClr val="accent2"/>
              </a:solidFill>
              <a:round/>
            </a:ln>
            <a:effectLst/>
          </c:spPr>
          <c:marker>
            <c:symbol val="none"/>
          </c:marker>
          <c:cat>
            <c:numRef>
              <c:f>'14) Revenue Projections'!$A$2:$A$14</c:f>
              <c:numCache>
                <c:formatCode>General</c:formatCode>
                <c:ptCount val="13"/>
                <c:pt idx="0">
                  <c:v>2012</c:v>
                </c:pt>
                <c:pt idx="1">
                  <c:v>2013</c:v>
                </c:pt>
                <c:pt idx="2">
                  <c:v>2014</c:v>
                </c:pt>
                <c:pt idx="3">
                  <c:v>2015</c:v>
                </c:pt>
                <c:pt idx="4">
                  <c:v>2016</c:v>
                </c:pt>
                <c:pt idx="5">
                  <c:v>2017</c:v>
                </c:pt>
                <c:pt idx="6">
                  <c:v>2018</c:v>
                </c:pt>
                <c:pt idx="7">
                  <c:v>2019</c:v>
                </c:pt>
                <c:pt idx="8">
                  <c:v>2020</c:v>
                </c:pt>
                <c:pt idx="9">
                  <c:v>2021</c:v>
                </c:pt>
                <c:pt idx="10">
                  <c:v>2022</c:v>
                </c:pt>
                <c:pt idx="11">
                  <c:v>2023</c:v>
                </c:pt>
                <c:pt idx="12">
                  <c:v>2024</c:v>
                </c:pt>
              </c:numCache>
            </c:numRef>
          </c:cat>
          <c:val>
            <c:numRef>
              <c:f>'14) Revenue Projections'!$C$2:$C$14</c:f>
              <c:numCache>
                <c:formatCode>General</c:formatCode>
                <c:ptCount val="13"/>
                <c:pt idx="8" formatCode="_(&quot;$&quot;* #,##0.00_);_(&quot;$&quot;* \(#,##0.00\);_(&quot;$&quot;* &quot;-&quot;??_);_(@_)">
                  <c:v>1090263.5099999998</c:v>
                </c:pt>
                <c:pt idx="9" formatCode="_(&quot;$&quot;* #,##0.00_);_(&quot;$&quot;* \(#,##0.00\);_(&quot;$&quot;* &quot;-&quot;??_);_(@_)">
                  <c:v>1115962.6293620144</c:v>
                </c:pt>
                <c:pt idx="10" formatCode="_(&quot;$&quot;* #,##0.00_);_(&quot;$&quot;* \(#,##0.00\);_(&quot;$&quot;* &quot;-&quot;??_);_(@_)">
                  <c:v>1168219.042893701</c:v>
                </c:pt>
                <c:pt idx="11" formatCode="_(&quot;$&quot;* #,##0.00_);_(&quot;$&quot;* \(#,##0.00\);_(&quot;$&quot;* &quot;-&quot;??_);_(@_)">
                  <c:v>1220475.4564253874</c:v>
                </c:pt>
                <c:pt idx="12" formatCode="_(&quot;$&quot;* #,##0.00_);_(&quot;$&quot;* \(#,##0.00\);_(&quot;$&quot;* &quot;-&quot;??_);_(@_)">
                  <c:v>1272731.8699570741</c:v>
                </c:pt>
              </c:numCache>
            </c:numRef>
          </c:val>
          <c:smooth val="0"/>
          <c:extLst>
            <c:ext xmlns:c16="http://schemas.microsoft.com/office/drawing/2014/chart" uri="{C3380CC4-5D6E-409C-BE32-E72D297353CC}">
              <c16:uniqueId val="{00000001-6D63-4853-ABDE-5963796FB10C}"/>
            </c:ext>
          </c:extLst>
        </c:ser>
        <c:ser>
          <c:idx val="2"/>
          <c:order val="2"/>
          <c:tx>
            <c:strRef>
              <c:f>'14) Revenue Projections'!$D$1</c:f>
              <c:strCache>
                <c:ptCount val="1"/>
                <c:pt idx="0">
                  <c:v>Lower Confidence Bound(Revenue Amount )</c:v>
                </c:pt>
              </c:strCache>
            </c:strRef>
          </c:tx>
          <c:spPr>
            <a:ln w="12700" cap="rnd">
              <a:solidFill>
                <a:srgbClr val="ED7D31"/>
              </a:solidFill>
              <a:prstDash val="solid"/>
              <a:round/>
            </a:ln>
            <a:effectLst/>
          </c:spPr>
          <c:marker>
            <c:symbol val="none"/>
          </c:marker>
          <c:cat>
            <c:numRef>
              <c:f>'14) Revenue Projections'!$A$2:$A$14</c:f>
              <c:numCache>
                <c:formatCode>General</c:formatCode>
                <c:ptCount val="13"/>
                <c:pt idx="0">
                  <c:v>2012</c:v>
                </c:pt>
                <c:pt idx="1">
                  <c:v>2013</c:v>
                </c:pt>
                <c:pt idx="2">
                  <c:v>2014</c:v>
                </c:pt>
                <c:pt idx="3">
                  <c:v>2015</c:v>
                </c:pt>
                <c:pt idx="4">
                  <c:v>2016</c:v>
                </c:pt>
                <c:pt idx="5">
                  <c:v>2017</c:v>
                </c:pt>
                <c:pt idx="6">
                  <c:v>2018</c:v>
                </c:pt>
                <c:pt idx="7">
                  <c:v>2019</c:v>
                </c:pt>
                <c:pt idx="8">
                  <c:v>2020</c:v>
                </c:pt>
                <c:pt idx="9">
                  <c:v>2021</c:v>
                </c:pt>
                <c:pt idx="10">
                  <c:v>2022</c:v>
                </c:pt>
                <c:pt idx="11">
                  <c:v>2023</c:v>
                </c:pt>
                <c:pt idx="12">
                  <c:v>2024</c:v>
                </c:pt>
              </c:numCache>
            </c:numRef>
          </c:cat>
          <c:val>
            <c:numRef>
              <c:f>'14) Revenue Projections'!$D$2:$D$14</c:f>
              <c:numCache>
                <c:formatCode>General</c:formatCode>
                <c:ptCount val="13"/>
                <c:pt idx="8" formatCode="_(&quot;$&quot;* #,##0.00_);_(&quot;$&quot;* \(#,##0.00\);_(&quot;$&quot;* &quot;-&quot;??_);_(@_)">
                  <c:v>1090263.5099999998</c:v>
                </c:pt>
                <c:pt idx="9" formatCode="_(&quot;$&quot;* #,##0.00_);_(&quot;$&quot;* \(#,##0.00\);_(&quot;$&quot;* &quot;-&quot;??_);_(@_)">
                  <c:v>1030455.866158573</c:v>
                </c:pt>
                <c:pt idx="10" formatCode="_(&quot;$&quot;* #,##0.00_);_(&quot;$&quot;* \(#,##0.00\);_(&quot;$&quot;* &quot;-&quot;??_);_(@_)">
                  <c:v>1082277.2590410141</c:v>
                </c:pt>
                <c:pt idx="11" formatCode="_(&quot;$&quot;* #,##0.00_);_(&quot;$&quot;* \(#,##0.00\);_(&quot;$&quot;* &quot;-&quot;??_);_(@_)">
                  <c:v>1134092.2515440863</c:v>
                </c:pt>
                <c:pt idx="12" formatCode="_(&quot;$&quot;* #,##0.00_);_(&quot;$&quot;* \(#,##0.00\);_(&quot;$&quot;* &quot;-&quot;??_);_(@_)">
                  <c:v>1185900.8570775085</c:v>
                </c:pt>
              </c:numCache>
            </c:numRef>
          </c:val>
          <c:smooth val="0"/>
          <c:extLst>
            <c:ext xmlns:c16="http://schemas.microsoft.com/office/drawing/2014/chart" uri="{C3380CC4-5D6E-409C-BE32-E72D297353CC}">
              <c16:uniqueId val="{00000002-6D63-4853-ABDE-5963796FB10C}"/>
            </c:ext>
          </c:extLst>
        </c:ser>
        <c:ser>
          <c:idx val="3"/>
          <c:order val="3"/>
          <c:tx>
            <c:strRef>
              <c:f>'14) Revenue Projections'!$E$1</c:f>
              <c:strCache>
                <c:ptCount val="1"/>
                <c:pt idx="0">
                  <c:v>Upper Confidence Bound(Revenue Amount )</c:v>
                </c:pt>
              </c:strCache>
            </c:strRef>
          </c:tx>
          <c:spPr>
            <a:ln w="12700" cap="rnd">
              <a:solidFill>
                <a:srgbClr val="ED7D31"/>
              </a:solidFill>
              <a:prstDash val="solid"/>
              <a:round/>
            </a:ln>
            <a:effectLst/>
          </c:spPr>
          <c:marker>
            <c:symbol val="none"/>
          </c:marker>
          <c:cat>
            <c:numRef>
              <c:f>'14) Revenue Projections'!$A$2:$A$14</c:f>
              <c:numCache>
                <c:formatCode>General</c:formatCode>
                <c:ptCount val="13"/>
                <c:pt idx="0">
                  <c:v>2012</c:v>
                </c:pt>
                <c:pt idx="1">
                  <c:v>2013</c:v>
                </c:pt>
                <c:pt idx="2">
                  <c:v>2014</c:v>
                </c:pt>
                <c:pt idx="3">
                  <c:v>2015</c:v>
                </c:pt>
                <c:pt idx="4">
                  <c:v>2016</c:v>
                </c:pt>
                <c:pt idx="5">
                  <c:v>2017</c:v>
                </c:pt>
                <c:pt idx="6">
                  <c:v>2018</c:v>
                </c:pt>
                <c:pt idx="7">
                  <c:v>2019</c:v>
                </c:pt>
                <c:pt idx="8">
                  <c:v>2020</c:v>
                </c:pt>
                <c:pt idx="9">
                  <c:v>2021</c:v>
                </c:pt>
                <c:pt idx="10">
                  <c:v>2022</c:v>
                </c:pt>
                <c:pt idx="11">
                  <c:v>2023</c:v>
                </c:pt>
                <c:pt idx="12">
                  <c:v>2024</c:v>
                </c:pt>
              </c:numCache>
            </c:numRef>
          </c:cat>
          <c:val>
            <c:numRef>
              <c:f>'14) Revenue Projections'!$E$2:$E$14</c:f>
              <c:numCache>
                <c:formatCode>General</c:formatCode>
                <c:ptCount val="13"/>
                <c:pt idx="8" formatCode="_(&quot;$&quot;* #,##0.00_);_(&quot;$&quot;* \(#,##0.00\);_(&quot;$&quot;* &quot;-&quot;??_);_(@_)">
                  <c:v>1090263.5099999998</c:v>
                </c:pt>
                <c:pt idx="9" formatCode="_(&quot;$&quot;* #,##0.00_);_(&quot;$&quot;* \(#,##0.00\);_(&quot;$&quot;* &quot;-&quot;??_);_(@_)">
                  <c:v>1201469.3925654558</c:v>
                </c:pt>
                <c:pt idx="10" formatCode="_(&quot;$&quot;* #,##0.00_);_(&quot;$&quot;* \(#,##0.00\);_(&quot;$&quot;* &quot;-&quot;??_);_(@_)">
                  <c:v>1254160.8267463879</c:v>
                </c:pt>
                <c:pt idx="11" formatCode="_(&quot;$&quot;* #,##0.00_);_(&quot;$&quot;* \(#,##0.00\);_(&quot;$&quot;* &quot;-&quot;??_);_(@_)">
                  <c:v>1306858.6613066886</c:v>
                </c:pt>
                <c:pt idx="12" formatCode="_(&quot;$&quot;* #,##0.00_);_(&quot;$&quot;* \(#,##0.00\);_(&quot;$&quot;* &quot;-&quot;??_);_(@_)">
                  <c:v>1359562.8828366396</c:v>
                </c:pt>
              </c:numCache>
            </c:numRef>
          </c:val>
          <c:smooth val="0"/>
          <c:extLst>
            <c:ext xmlns:c16="http://schemas.microsoft.com/office/drawing/2014/chart" uri="{C3380CC4-5D6E-409C-BE32-E72D297353CC}">
              <c16:uniqueId val="{00000003-6D63-4853-ABDE-5963796FB10C}"/>
            </c:ext>
          </c:extLst>
        </c:ser>
        <c:dLbls>
          <c:showLegendKey val="0"/>
          <c:showVal val="0"/>
          <c:showCatName val="0"/>
          <c:showSerName val="0"/>
          <c:showPercent val="0"/>
          <c:showBubbleSize val="0"/>
        </c:dLbls>
        <c:smooth val="0"/>
        <c:axId val="684113408"/>
        <c:axId val="684107832"/>
      </c:lineChart>
      <c:catAx>
        <c:axId val="684113408"/>
        <c:scaling>
          <c:orientation val="minMax"/>
        </c:scaling>
        <c:delete val="0"/>
        <c:axPos val="b"/>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84107832"/>
        <c:crosses val="autoZero"/>
        <c:auto val="1"/>
        <c:lblAlgn val="ctr"/>
        <c:lblOffset val="100"/>
        <c:noMultiLvlLbl val="0"/>
      </c:catAx>
      <c:valAx>
        <c:axId val="684107832"/>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00_);_(&quot;$&quot;* \(#,##0.0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841134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'15) Expense Projections'!$B$1</c:f>
              <c:strCache>
                <c:ptCount val="1"/>
                <c:pt idx="0">
                  <c:v>Expense Amount </c:v>
                </c:pt>
              </c:strCache>
            </c:strRef>
          </c:tx>
          <c:spPr>
            <a:ln w="28575" cap="rnd">
              <a:solidFill>
                <a:schemeClr val="accent1"/>
              </a:solidFill>
              <a:round/>
            </a:ln>
            <a:effectLst/>
          </c:spPr>
          <c:marker>
            <c:symbol val="none"/>
          </c:marker>
          <c:val>
            <c:numRef>
              <c:f>'15) Expense Projections'!$B$2:$B$14</c:f>
              <c:numCache>
                <c:formatCode>_("$"* #,##0.00_);_("$"* \(#,##0.00\);_("$"* "-"??_);_(@_)</c:formatCode>
                <c:ptCount val="13"/>
                <c:pt idx="0">
                  <c:v>631409</c:v>
                </c:pt>
                <c:pt idx="1">
                  <c:v>714791</c:v>
                </c:pt>
                <c:pt idx="2">
                  <c:v>643731</c:v>
                </c:pt>
                <c:pt idx="3">
                  <c:v>799206</c:v>
                </c:pt>
                <c:pt idx="4">
                  <c:v>802456</c:v>
                </c:pt>
                <c:pt idx="5">
                  <c:v>834823</c:v>
                </c:pt>
                <c:pt idx="6">
                  <c:v>933065</c:v>
                </c:pt>
                <c:pt idx="7">
                  <c:v>933065</c:v>
                </c:pt>
                <c:pt idx="8">
                  <c:v>1093206.31</c:v>
                </c:pt>
              </c:numCache>
            </c:numRef>
          </c:val>
          <c:smooth val="0"/>
          <c:extLst>
            <c:ext xmlns:c16="http://schemas.microsoft.com/office/drawing/2014/chart" uri="{C3380CC4-5D6E-409C-BE32-E72D297353CC}">
              <c16:uniqueId val="{00000000-40E7-4817-A666-EF51E33523CA}"/>
            </c:ext>
          </c:extLst>
        </c:ser>
        <c:ser>
          <c:idx val="1"/>
          <c:order val="1"/>
          <c:tx>
            <c:strRef>
              <c:f>'15) Expense Projections'!$C$1</c:f>
              <c:strCache>
                <c:ptCount val="1"/>
                <c:pt idx="0">
                  <c:v>Forecast(Expense Amount )</c:v>
                </c:pt>
              </c:strCache>
            </c:strRef>
          </c:tx>
          <c:spPr>
            <a:ln w="25400" cap="rnd">
              <a:solidFill>
                <a:schemeClr val="accent2"/>
              </a:solidFill>
              <a:round/>
            </a:ln>
            <a:effectLst/>
          </c:spPr>
          <c:marker>
            <c:symbol val="none"/>
          </c:marker>
          <c:cat>
            <c:numRef>
              <c:f>'15) Expense Projections'!$A$2:$A$14</c:f>
              <c:numCache>
                <c:formatCode>General</c:formatCode>
                <c:ptCount val="13"/>
                <c:pt idx="0">
                  <c:v>2012</c:v>
                </c:pt>
                <c:pt idx="1">
                  <c:v>2013</c:v>
                </c:pt>
                <c:pt idx="2">
                  <c:v>2014</c:v>
                </c:pt>
                <c:pt idx="3">
                  <c:v>2015</c:v>
                </c:pt>
                <c:pt idx="4">
                  <c:v>2016</c:v>
                </c:pt>
                <c:pt idx="5">
                  <c:v>2017</c:v>
                </c:pt>
                <c:pt idx="6">
                  <c:v>2018</c:v>
                </c:pt>
                <c:pt idx="7">
                  <c:v>2019</c:v>
                </c:pt>
                <c:pt idx="8">
                  <c:v>2020</c:v>
                </c:pt>
                <c:pt idx="9">
                  <c:v>2021</c:v>
                </c:pt>
                <c:pt idx="10">
                  <c:v>2022</c:v>
                </c:pt>
                <c:pt idx="11">
                  <c:v>2023</c:v>
                </c:pt>
                <c:pt idx="12">
                  <c:v>2024</c:v>
                </c:pt>
              </c:numCache>
            </c:numRef>
          </c:cat>
          <c:val>
            <c:numRef>
              <c:f>'15) Expense Projections'!$C$2:$C$14</c:f>
              <c:numCache>
                <c:formatCode>General</c:formatCode>
                <c:ptCount val="13"/>
                <c:pt idx="8" formatCode="_(&quot;$&quot;* #,##0.00_);_(&quot;$&quot;* \(#,##0.00\);_(&quot;$&quot;* &quot;-&quot;??_);_(@_)">
                  <c:v>1084797.0900000001</c:v>
                </c:pt>
                <c:pt idx="9" formatCode="_(&quot;$&quot;* #,##0.00_);_(&quot;$&quot;* \(#,##0.00\);_(&quot;$&quot;* &quot;-&quot;??_);_(@_)">
                  <c:v>1042519.35841484</c:v>
                </c:pt>
                <c:pt idx="10" formatCode="_(&quot;$&quot;* #,##0.00_);_(&quot;$&quot;* \(#,##0.00\);_(&quot;$&quot;* &quot;-&quot;??_);_(@_)">
                  <c:v>1196910.8162081006</c:v>
                </c:pt>
                <c:pt idx="11" formatCode="_(&quot;$&quot;* #,##0.00_);_(&quot;$&quot;* \(#,##0.00\);_(&quot;$&quot;* &quot;-&quot;??_);_(@_)">
                  <c:v>1146281.2741592193</c:v>
                </c:pt>
                <c:pt idx="12" formatCode="_(&quot;$&quot;* #,##0.00_);_(&quot;$&quot;* \(#,##0.00\);_(&quot;$&quot;* &quot;-&quot;??_);_(@_)">
                  <c:v>1300672.7319524798</c:v>
                </c:pt>
              </c:numCache>
            </c:numRef>
          </c:val>
          <c:smooth val="0"/>
          <c:extLst>
            <c:ext xmlns:c16="http://schemas.microsoft.com/office/drawing/2014/chart" uri="{C3380CC4-5D6E-409C-BE32-E72D297353CC}">
              <c16:uniqueId val="{00000001-40E7-4817-A666-EF51E33523CA}"/>
            </c:ext>
          </c:extLst>
        </c:ser>
        <c:ser>
          <c:idx val="2"/>
          <c:order val="2"/>
          <c:tx>
            <c:strRef>
              <c:f>'15) Expense Projections'!$D$1</c:f>
              <c:strCache>
                <c:ptCount val="1"/>
                <c:pt idx="0">
                  <c:v>Lower Confidence Bound(Expense Amount )</c:v>
                </c:pt>
              </c:strCache>
            </c:strRef>
          </c:tx>
          <c:spPr>
            <a:ln w="12700" cap="rnd">
              <a:solidFill>
                <a:srgbClr val="ED7D31"/>
              </a:solidFill>
              <a:prstDash val="solid"/>
              <a:round/>
            </a:ln>
            <a:effectLst/>
          </c:spPr>
          <c:marker>
            <c:symbol val="none"/>
          </c:marker>
          <c:cat>
            <c:numRef>
              <c:f>'15) Expense Projections'!$A$2:$A$14</c:f>
              <c:numCache>
                <c:formatCode>General</c:formatCode>
                <c:ptCount val="13"/>
                <c:pt idx="0">
                  <c:v>2012</c:v>
                </c:pt>
                <c:pt idx="1">
                  <c:v>2013</c:v>
                </c:pt>
                <c:pt idx="2">
                  <c:v>2014</c:v>
                </c:pt>
                <c:pt idx="3">
                  <c:v>2015</c:v>
                </c:pt>
                <c:pt idx="4">
                  <c:v>2016</c:v>
                </c:pt>
                <c:pt idx="5">
                  <c:v>2017</c:v>
                </c:pt>
                <c:pt idx="6">
                  <c:v>2018</c:v>
                </c:pt>
                <c:pt idx="7">
                  <c:v>2019</c:v>
                </c:pt>
                <c:pt idx="8">
                  <c:v>2020</c:v>
                </c:pt>
                <c:pt idx="9">
                  <c:v>2021</c:v>
                </c:pt>
                <c:pt idx="10">
                  <c:v>2022</c:v>
                </c:pt>
                <c:pt idx="11">
                  <c:v>2023</c:v>
                </c:pt>
                <c:pt idx="12">
                  <c:v>2024</c:v>
                </c:pt>
              </c:numCache>
            </c:numRef>
          </c:cat>
          <c:val>
            <c:numRef>
              <c:f>'15) Expense Projections'!$D$2:$D$14</c:f>
              <c:numCache>
                <c:formatCode>General</c:formatCode>
                <c:ptCount val="13"/>
                <c:pt idx="8" formatCode="_(&quot;$&quot;* #,##0.00_);_(&quot;$&quot;* \(#,##0.00\);_(&quot;$&quot;* &quot;-&quot;??_);_(@_)">
                  <c:v>1096751.0900000001</c:v>
                </c:pt>
                <c:pt idx="9" formatCode="_(&quot;$&quot;* #,##0.00_);_(&quot;$&quot;* \(#,##0.00\);_(&quot;$&quot;* &quot;-&quot;??_);_(@_)">
                  <c:v>946231.00347053783</c:v>
                </c:pt>
                <c:pt idx="10" formatCode="_(&quot;$&quot;* #,##0.00_);_(&quot;$&quot;* \(#,##0.00\);_(&quot;$&quot;* &quot;-&quot;??_);_(@_)">
                  <c:v>1100132.5886371972</c:v>
                </c:pt>
                <c:pt idx="11" formatCode="_(&quot;$&quot;* #,##0.00_);_(&quot;$&quot;* \(#,##0.00\);_(&quot;$&quot;* &quot;-&quot;??_);_(@_)">
                  <c:v>1009694.2147586724</c:v>
                </c:pt>
                <c:pt idx="12" formatCode="_(&quot;$&quot;* #,##0.00_);_(&quot;$&quot;* \(#,##0.00\);_(&quot;$&quot;* &quot;-&quot;??_);_(@_)">
                  <c:v>1163726.0796382602</c:v>
                </c:pt>
              </c:numCache>
            </c:numRef>
          </c:val>
          <c:smooth val="0"/>
          <c:extLst>
            <c:ext xmlns:c16="http://schemas.microsoft.com/office/drawing/2014/chart" uri="{C3380CC4-5D6E-409C-BE32-E72D297353CC}">
              <c16:uniqueId val="{00000002-40E7-4817-A666-EF51E33523CA}"/>
            </c:ext>
          </c:extLst>
        </c:ser>
        <c:ser>
          <c:idx val="3"/>
          <c:order val="3"/>
          <c:tx>
            <c:strRef>
              <c:f>'15) Expense Projections'!$E$1</c:f>
              <c:strCache>
                <c:ptCount val="1"/>
                <c:pt idx="0">
                  <c:v>Upper Confidence Bound(Expense Amount )</c:v>
                </c:pt>
              </c:strCache>
            </c:strRef>
          </c:tx>
          <c:spPr>
            <a:ln w="12700" cap="rnd">
              <a:solidFill>
                <a:srgbClr val="ED7D31"/>
              </a:solidFill>
              <a:prstDash val="solid"/>
              <a:round/>
            </a:ln>
            <a:effectLst/>
          </c:spPr>
          <c:marker>
            <c:symbol val="none"/>
          </c:marker>
          <c:cat>
            <c:numRef>
              <c:f>'15) Expense Projections'!$A$2:$A$14</c:f>
              <c:numCache>
                <c:formatCode>General</c:formatCode>
                <c:ptCount val="13"/>
                <c:pt idx="0">
                  <c:v>2012</c:v>
                </c:pt>
                <c:pt idx="1">
                  <c:v>2013</c:v>
                </c:pt>
                <c:pt idx="2">
                  <c:v>2014</c:v>
                </c:pt>
                <c:pt idx="3">
                  <c:v>2015</c:v>
                </c:pt>
                <c:pt idx="4">
                  <c:v>2016</c:v>
                </c:pt>
                <c:pt idx="5">
                  <c:v>2017</c:v>
                </c:pt>
                <c:pt idx="6">
                  <c:v>2018</c:v>
                </c:pt>
                <c:pt idx="7">
                  <c:v>2019</c:v>
                </c:pt>
                <c:pt idx="8">
                  <c:v>2020</c:v>
                </c:pt>
                <c:pt idx="9">
                  <c:v>2021</c:v>
                </c:pt>
                <c:pt idx="10">
                  <c:v>2022</c:v>
                </c:pt>
                <c:pt idx="11">
                  <c:v>2023</c:v>
                </c:pt>
                <c:pt idx="12">
                  <c:v>2024</c:v>
                </c:pt>
              </c:numCache>
            </c:numRef>
          </c:cat>
          <c:val>
            <c:numRef>
              <c:f>'15) Expense Projections'!$E$2:$E$14</c:f>
              <c:numCache>
                <c:formatCode>General</c:formatCode>
                <c:ptCount val="13"/>
                <c:pt idx="8" formatCode="_(&quot;$&quot;* #,##0.00_);_(&quot;$&quot;* \(#,##0.00\);_(&quot;$&quot;* &quot;-&quot;??_);_(@_)">
                  <c:v>1096751.0900000001</c:v>
                </c:pt>
                <c:pt idx="9" formatCode="_(&quot;$&quot;* #,##0.00_);_(&quot;$&quot;* \(#,##0.00\);_(&quot;$&quot;* &quot;-&quot;??_);_(@_)">
                  <c:v>1138807.713359142</c:v>
                </c:pt>
                <c:pt idx="10" formatCode="_(&quot;$&quot;* #,##0.00_);_(&quot;$&quot;* \(#,##0.00\);_(&quot;$&quot;* &quot;-&quot;??_);_(@_)">
                  <c:v>1293689.0437790041</c:v>
                </c:pt>
                <c:pt idx="11" formatCode="_(&quot;$&quot;* #,##0.00_);_(&quot;$&quot;* \(#,##0.00\);_(&quot;$&quot;* &quot;-&quot;??_);_(@_)">
                  <c:v>1282868.3335597664</c:v>
                </c:pt>
                <c:pt idx="12" formatCode="_(&quot;$&quot;* #,##0.00_);_(&quot;$&quot;* \(#,##0.00\);_(&quot;$&quot;* &quot;-&quot;??_);_(@_)">
                  <c:v>1437619.3842666994</c:v>
                </c:pt>
              </c:numCache>
            </c:numRef>
          </c:val>
          <c:smooth val="0"/>
          <c:extLst>
            <c:ext xmlns:c16="http://schemas.microsoft.com/office/drawing/2014/chart" uri="{C3380CC4-5D6E-409C-BE32-E72D297353CC}">
              <c16:uniqueId val="{00000003-40E7-4817-A666-EF51E33523CA}"/>
            </c:ext>
          </c:extLst>
        </c:ser>
        <c:dLbls>
          <c:showLegendKey val="0"/>
          <c:showVal val="0"/>
          <c:showCatName val="0"/>
          <c:showSerName val="0"/>
          <c:showPercent val="0"/>
          <c:showBubbleSize val="0"/>
        </c:dLbls>
        <c:smooth val="0"/>
        <c:axId val="625389656"/>
        <c:axId val="625394248"/>
      </c:lineChart>
      <c:catAx>
        <c:axId val="625389656"/>
        <c:scaling>
          <c:orientation val="minMax"/>
        </c:scaling>
        <c:delete val="0"/>
        <c:axPos val="b"/>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25394248"/>
        <c:crosses val="autoZero"/>
        <c:auto val="1"/>
        <c:lblAlgn val="ctr"/>
        <c:lblOffset val="100"/>
        <c:noMultiLvlLbl val="0"/>
      </c:catAx>
      <c:valAx>
        <c:axId val="625394248"/>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00_);_(&quot;$&quot;* \(#,##0.0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2538965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'Reference Projections FY2020'!$B$1</c:f>
              <c:strCache>
                <c:ptCount val="1"/>
                <c:pt idx="0">
                  <c:v>Revenue Amount </c:v>
                </c:pt>
              </c:strCache>
            </c:strRef>
          </c:tx>
          <c:spPr>
            <a:ln w="28575" cap="rnd">
              <a:solidFill>
                <a:schemeClr val="accent1"/>
              </a:solidFill>
              <a:round/>
            </a:ln>
            <a:effectLst/>
          </c:spPr>
          <c:marker>
            <c:symbol val="none"/>
          </c:marker>
          <c:val>
            <c:numRef>
              <c:f>'Reference Projections FY2020'!$B$2:$B$11</c:f>
              <c:numCache>
                <c:formatCode>_("$"* #,##0.00_);_("$"* \(#,##0.00\);_("$"* "-"??_);_(@_)</c:formatCode>
                <c:ptCount val="10"/>
                <c:pt idx="0">
                  <c:v>632156</c:v>
                </c:pt>
                <c:pt idx="1">
                  <c:v>757547</c:v>
                </c:pt>
                <c:pt idx="2">
                  <c:v>800977</c:v>
                </c:pt>
                <c:pt idx="3">
                  <c:v>785316</c:v>
                </c:pt>
                <c:pt idx="4">
                  <c:v>833653</c:v>
                </c:pt>
                <c:pt idx="5">
                  <c:v>863699</c:v>
                </c:pt>
                <c:pt idx="6">
                  <c:v>931150</c:v>
                </c:pt>
                <c:pt idx="7">
                  <c:v>1070194</c:v>
                </c:pt>
              </c:numCache>
            </c:numRef>
          </c:val>
          <c:smooth val="0"/>
          <c:extLst>
            <c:ext xmlns:c16="http://schemas.microsoft.com/office/drawing/2014/chart" uri="{C3380CC4-5D6E-409C-BE32-E72D297353CC}">
              <c16:uniqueId val="{00000000-5460-48F4-8547-DD59F3AB41CC}"/>
            </c:ext>
          </c:extLst>
        </c:ser>
        <c:ser>
          <c:idx val="1"/>
          <c:order val="1"/>
          <c:tx>
            <c:strRef>
              <c:f>'Reference Projections FY2020'!$C$1</c:f>
              <c:strCache>
                <c:ptCount val="1"/>
                <c:pt idx="0">
                  <c:v>Forecast(Revenue Amount )</c:v>
                </c:pt>
              </c:strCache>
            </c:strRef>
          </c:tx>
          <c:spPr>
            <a:ln w="25400" cap="rnd">
              <a:solidFill>
                <a:schemeClr val="accent2"/>
              </a:solidFill>
              <a:round/>
            </a:ln>
            <a:effectLst/>
          </c:spPr>
          <c:marker>
            <c:symbol val="none"/>
          </c:marker>
          <c:cat>
            <c:numRef>
              <c:f>'Reference Projections FY2020'!$A$2:$A$11</c:f>
              <c:numCache>
                <c:formatCode>General</c:formatCode>
                <c:ptCount val="10"/>
                <c:pt idx="0">
                  <c:v>2012</c:v>
                </c:pt>
                <c:pt idx="1">
                  <c:v>2013</c:v>
                </c:pt>
                <c:pt idx="2">
                  <c:v>2014</c:v>
                </c:pt>
                <c:pt idx="3">
                  <c:v>2015</c:v>
                </c:pt>
                <c:pt idx="4">
                  <c:v>2016</c:v>
                </c:pt>
                <c:pt idx="5">
                  <c:v>2017</c:v>
                </c:pt>
                <c:pt idx="6">
                  <c:v>2018</c:v>
                </c:pt>
                <c:pt idx="7">
                  <c:v>2019</c:v>
                </c:pt>
                <c:pt idx="8">
                  <c:v>2020</c:v>
                </c:pt>
                <c:pt idx="9">
                  <c:v>2021</c:v>
                </c:pt>
              </c:numCache>
            </c:numRef>
          </c:cat>
          <c:val>
            <c:numRef>
              <c:f>'Reference Projections FY2020'!$C$2:$C$11</c:f>
              <c:numCache>
                <c:formatCode>General</c:formatCode>
                <c:ptCount val="10"/>
                <c:pt idx="7" formatCode="_(&quot;$&quot;* #,##0.00_);_(&quot;$&quot;* \(#,##0.00\);_(&quot;$&quot;* &quot;-&quot;??_);_(@_)">
                  <c:v>1070194</c:v>
                </c:pt>
                <c:pt idx="8" formatCode="_(&quot;$&quot;* #,##0.00_);_(&quot;$&quot;* \(#,##0.00\);_(&quot;$&quot;* &quot;-&quot;??_);_(@_)">
                  <c:v>1049074.4437815272</c:v>
                </c:pt>
                <c:pt idx="9" formatCode="_(&quot;$&quot;* #,##0.00_);_(&quot;$&quot;* \(#,##0.00\);_(&quot;$&quot;* &quot;-&quot;??_);_(@_)">
                  <c:v>1098877.1016386766</c:v>
                </c:pt>
              </c:numCache>
            </c:numRef>
          </c:val>
          <c:smooth val="0"/>
          <c:extLst>
            <c:ext xmlns:c16="http://schemas.microsoft.com/office/drawing/2014/chart" uri="{C3380CC4-5D6E-409C-BE32-E72D297353CC}">
              <c16:uniqueId val="{00000001-5460-48F4-8547-DD59F3AB41CC}"/>
            </c:ext>
          </c:extLst>
        </c:ser>
        <c:ser>
          <c:idx val="2"/>
          <c:order val="2"/>
          <c:tx>
            <c:strRef>
              <c:f>'Reference Projections FY2020'!$D$1</c:f>
              <c:strCache>
                <c:ptCount val="1"/>
                <c:pt idx="0">
                  <c:v>Lower Confidence Bound(Revenue Amount )</c:v>
                </c:pt>
              </c:strCache>
            </c:strRef>
          </c:tx>
          <c:spPr>
            <a:ln w="12700" cap="rnd">
              <a:solidFill>
                <a:srgbClr val="ED7D31"/>
              </a:solidFill>
              <a:prstDash val="solid"/>
              <a:round/>
            </a:ln>
            <a:effectLst/>
          </c:spPr>
          <c:marker>
            <c:symbol val="none"/>
          </c:marker>
          <c:cat>
            <c:numRef>
              <c:f>'Reference Projections FY2020'!$A$2:$A$11</c:f>
              <c:numCache>
                <c:formatCode>General</c:formatCode>
                <c:ptCount val="10"/>
                <c:pt idx="0">
                  <c:v>2012</c:v>
                </c:pt>
                <c:pt idx="1">
                  <c:v>2013</c:v>
                </c:pt>
                <c:pt idx="2">
                  <c:v>2014</c:v>
                </c:pt>
                <c:pt idx="3">
                  <c:v>2015</c:v>
                </c:pt>
                <c:pt idx="4">
                  <c:v>2016</c:v>
                </c:pt>
                <c:pt idx="5">
                  <c:v>2017</c:v>
                </c:pt>
                <c:pt idx="6">
                  <c:v>2018</c:v>
                </c:pt>
                <c:pt idx="7">
                  <c:v>2019</c:v>
                </c:pt>
                <c:pt idx="8">
                  <c:v>2020</c:v>
                </c:pt>
                <c:pt idx="9">
                  <c:v>2021</c:v>
                </c:pt>
              </c:numCache>
            </c:numRef>
          </c:cat>
          <c:val>
            <c:numRef>
              <c:f>'Reference Projections FY2020'!$D$2:$D$11</c:f>
              <c:numCache>
                <c:formatCode>General</c:formatCode>
                <c:ptCount val="10"/>
                <c:pt idx="7" formatCode="_(&quot;$&quot;* #,##0.00_);_(&quot;$&quot;* \(#,##0.00\);_(&quot;$&quot;* &quot;-&quot;??_);_(@_)">
                  <c:v>1070194</c:v>
                </c:pt>
                <c:pt idx="8" formatCode="_(&quot;$&quot;* #,##0.00_);_(&quot;$&quot;* \(#,##0.00\);_(&quot;$&quot;* &quot;-&quot;??_);_(@_)">
                  <c:v>957947.64038729831</c:v>
                </c:pt>
                <c:pt idx="9" formatCode="_(&quot;$&quot;* #,##0.00_);_(&quot;$&quot;* \(#,##0.00\);_(&quot;$&quot;* &quot;-&quot;??_);_(@_)">
                  <c:v>1007018.3457481011</c:v>
                </c:pt>
              </c:numCache>
            </c:numRef>
          </c:val>
          <c:smooth val="0"/>
          <c:extLst>
            <c:ext xmlns:c16="http://schemas.microsoft.com/office/drawing/2014/chart" uri="{C3380CC4-5D6E-409C-BE32-E72D297353CC}">
              <c16:uniqueId val="{00000002-5460-48F4-8547-DD59F3AB41CC}"/>
            </c:ext>
          </c:extLst>
        </c:ser>
        <c:ser>
          <c:idx val="3"/>
          <c:order val="3"/>
          <c:tx>
            <c:strRef>
              <c:f>'Reference Projections FY2020'!$E$1</c:f>
              <c:strCache>
                <c:ptCount val="1"/>
                <c:pt idx="0">
                  <c:v>Upper Confidence Bound(Revenue Amount )</c:v>
                </c:pt>
              </c:strCache>
            </c:strRef>
          </c:tx>
          <c:spPr>
            <a:ln w="12700" cap="rnd">
              <a:solidFill>
                <a:srgbClr val="ED7D31"/>
              </a:solidFill>
              <a:prstDash val="solid"/>
              <a:round/>
            </a:ln>
            <a:effectLst/>
          </c:spPr>
          <c:marker>
            <c:symbol val="none"/>
          </c:marker>
          <c:cat>
            <c:numRef>
              <c:f>'Reference Projections FY2020'!$A$2:$A$11</c:f>
              <c:numCache>
                <c:formatCode>General</c:formatCode>
                <c:ptCount val="10"/>
                <c:pt idx="0">
                  <c:v>2012</c:v>
                </c:pt>
                <c:pt idx="1">
                  <c:v>2013</c:v>
                </c:pt>
                <c:pt idx="2">
                  <c:v>2014</c:v>
                </c:pt>
                <c:pt idx="3">
                  <c:v>2015</c:v>
                </c:pt>
                <c:pt idx="4">
                  <c:v>2016</c:v>
                </c:pt>
                <c:pt idx="5">
                  <c:v>2017</c:v>
                </c:pt>
                <c:pt idx="6">
                  <c:v>2018</c:v>
                </c:pt>
                <c:pt idx="7">
                  <c:v>2019</c:v>
                </c:pt>
                <c:pt idx="8">
                  <c:v>2020</c:v>
                </c:pt>
                <c:pt idx="9">
                  <c:v>2021</c:v>
                </c:pt>
              </c:numCache>
            </c:numRef>
          </c:cat>
          <c:val>
            <c:numRef>
              <c:f>'Reference Projections FY2020'!$E$2:$E$11</c:f>
              <c:numCache>
                <c:formatCode>General</c:formatCode>
                <c:ptCount val="10"/>
                <c:pt idx="7" formatCode="_(&quot;$&quot;* #,##0.00_);_(&quot;$&quot;* \(#,##0.00\);_(&quot;$&quot;* &quot;-&quot;??_);_(@_)">
                  <c:v>1070194</c:v>
                </c:pt>
                <c:pt idx="8" formatCode="_(&quot;$&quot;* #,##0.00_);_(&quot;$&quot;* \(#,##0.00\);_(&quot;$&quot;* &quot;-&quot;??_);_(@_)">
                  <c:v>1140201.2471757561</c:v>
                </c:pt>
                <c:pt idx="9" formatCode="_(&quot;$&quot;* #,##0.00_);_(&quot;$&quot;* \(#,##0.00\);_(&quot;$&quot;* &quot;-&quot;??_);_(@_)">
                  <c:v>1190735.8575292521</c:v>
                </c:pt>
              </c:numCache>
            </c:numRef>
          </c:val>
          <c:smooth val="0"/>
          <c:extLst>
            <c:ext xmlns:c16="http://schemas.microsoft.com/office/drawing/2014/chart" uri="{C3380CC4-5D6E-409C-BE32-E72D297353CC}">
              <c16:uniqueId val="{00000003-5460-48F4-8547-DD59F3AB41CC}"/>
            </c:ext>
          </c:extLst>
        </c:ser>
        <c:dLbls>
          <c:showLegendKey val="0"/>
          <c:showVal val="0"/>
          <c:showCatName val="0"/>
          <c:showSerName val="0"/>
          <c:showPercent val="0"/>
          <c:showBubbleSize val="0"/>
        </c:dLbls>
        <c:smooth val="0"/>
        <c:axId val="420137152"/>
        <c:axId val="420137808"/>
      </c:lineChart>
      <c:catAx>
        <c:axId val="420137152"/>
        <c:scaling>
          <c:orientation val="minMax"/>
        </c:scaling>
        <c:delete val="0"/>
        <c:axPos val="b"/>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20137808"/>
        <c:crosses val="autoZero"/>
        <c:auto val="1"/>
        <c:lblAlgn val="ctr"/>
        <c:lblOffset val="100"/>
        <c:noMultiLvlLbl val="0"/>
      </c:catAx>
      <c:valAx>
        <c:axId val="420137808"/>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00_);_(&quot;$&quot;* \(#,##0.0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20137152"/>
        <c:crosses val="autoZero"/>
        <c:crossBetween val="between"/>
      </c:valAx>
      <c:spPr>
        <a:noFill/>
        <a:ln w="25400">
          <a:noFill/>
        </a:ln>
        <a:effectLst/>
      </c:spPr>
    </c:plotArea>
    <c:legend>
      <c:legendPos val="b"/>
      <c:layout>
        <c:manualLayout>
          <c:xMode val="edge"/>
          <c:yMode val="edge"/>
          <c:x val="0.05"/>
          <c:y val="2.84514435695538E-2"/>
          <c:w val="0.76372843128449253"/>
          <c:h val="0.62919156126960718"/>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'Reference Projections on FY2020'!$B$1</c:f>
              <c:strCache>
                <c:ptCount val="1"/>
                <c:pt idx="0">
                  <c:v>Expense Amount </c:v>
                </c:pt>
              </c:strCache>
            </c:strRef>
          </c:tx>
          <c:spPr>
            <a:ln w="28575" cap="rnd">
              <a:solidFill>
                <a:schemeClr val="accent1"/>
              </a:solidFill>
              <a:round/>
            </a:ln>
            <a:effectLst/>
          </c:spPr>
          <c:marker>
            <c:symbol val="none"/>
          </c:marker>
          <c:val>
            <c:numRef>
              <c:f>'Reference Projections on FY2020'!$B$2:$B$11</c:f>
              <c:numCache>
                <c:formatCode>_("$"* #,##0.00_);_("$"* \(#,##0.00\);_("$"* "-"??_);_(@_)</c:formatCode>
                <c:ptCount val="10"/>
                <c:pt idx="0">
                  <c:v>631409</c:v>
                </c:pt>
                <c:pt idx="1">
                  <c:v>714791</c:v>
                </c:pt>
                <c:pt idx="2">
                  <c:v>643731</c:v>
                </c:pt>
                <c:pt idx="3">
                  <c:v>799206</c:v>
                </c:pt>
                <c:pt idx="4">
                  <c:v>802456</c:v>
                </c:pt>
                <c:pt idx="5">
                  <c:v>834823</c:v>
                </c:pt>
                <c:pt idx="6">
                  <c:v>933065</c:v>
                </c:pt>
                <c:pt idx="7">
                  <c:v>933065</c:v>
                </c:pt>
              </c:numCache>
            </c:numRef>
          </c:val>
          <c:smooth val="0"/>
          <c:extLst>
            <c:ext xmlns:c16="http://schemas.microsoft.com/office/drawing/2014/chart" uri="{C3380CC4-5D6E-409C-BE32-E72D297353CC}">
              <c16:uniqueId val="{00000000-208E-43CC-B1C7-1BF0C5B14F37}"/>
            </c:ext>
          </c:extLst>
        </c:ser>
        <c:ser>
          <c:idx val="1"/>
          <c:order val="1"/>
          <c:tx>
            <c:strRef>
              <c:f>'Reference Projections on FY2020'!$C$1</c:f>
              <c:strCache>
                <c:ptCount val="1"/>
                <c:pt idx="0">
                  <c:v>Forecast(Expense Amount )</c:v>
                </c:pt>
              </c:strCache>
            </c:strRef>
          </c:tx>
          <c:spPr>
            <a:ln w="25400" cap="rnd">
              <a:solidFill>
                <a:schemeClr val="accent2"/>
              </a:solidFill>
              <a:round/>
            </a:ln>
            <a:effectLst/>
          </c:spPr>
          <c:marker>
            <c:symbol val="none"/>
          </c:marker>
          <c:cat>
            <c:numRef>
              <c:f>'Reference Projections on FY2020'!$A$2:$A$11</c:f>
              <c:numCache>
                <c:formatCode>General</c:formatCode>
                <c:ptCount val="10"/>
                <c:pt idx="0">
                  <c:v>2012</c:v>
                </c:pt>
                <c:pt idx="1">
                  <c:v>2013</c:v>
                </c:pt>
                <c:pt idx="2">
                  <c:v>2014</c:v>
                </c:pt>
                <c:pt idx="3">
                  <c:v>2015</c:v>
                </c:pt>
                <c:pt idx="4">
                  <c:v>2016</c:v>
                </c:pt>
                <c:pt idx="5">
                  <c:v>2017</c:v>
                </c:pt>
                <c:pt idx="6">
                  <c:v>2018</c:v>
                </c:pt>
                <c:pt idx="7">
                  <c:v>2019</c:v>
                </c:pt>
                <c:pt idx="8">
                  <c:v>2020</c:v>
                </c:pt>
                <c:pt idx="9">
                  <c:v>2021</c:v>
                </c:pt>
              </c:numCache>
            </c:numRef>
          </c:cat>
          <c:val>
            <c:numRef>
              <c:f>'Reference Projections on FY2020'!$C$2:$C$11</c:f>
              <c:numCache>
                <c:formatCode>General</c:formatCode>
                <c:ptCount val="10"/>
                <c:pt idx="7" formatCode="_(&quot;$&quot;* #,##0.00_);_(&quot;$&quot;* \(#,##0.00\);_(&quot;$&quot;* &quot;-&quot;??_);_(@_)">
                  <c:v>933065</c:v>
                </c:pt>
                <c:pt idx="8" formatCode="_(&quot;$&quot;* #,##0.00_);_(&quot;$&quot;* \(#,##0.00\);_(&quot;$&quot;* &quot;-&quot;??_);_(@_)">
                  <c:v>940202.99735968502</c:v>
                </c:pt>
                <c:pt idx="9" formatCode="_(&quot;$&quot;* #,##0.00_);_(&quot;$&quot;* \(#,##0.00\);_(&quot;$&quot;* &quot;-&quot;??_);_(@_)">
                  <c:v>1079614.499969414</c:v>
                </c:pt>
              </c:numCache>
            </c:numRef>
          </c:val>
          <c:smooth val="0"/>
          <c:extLst>
            <c:ext xmlns:c16="http://schemas.microsoft.com/office/drawing/2014/chart" uri="{C3380CC4-5D6E-409C-BE32-E72D297353CC}">
              <c16:uniqueId val="{00000001-208E-43CC-B1C7-1BF0C5B14F37}"/>
            </c:ext>
          </c:extLst>
        </c:ser>
        <c:ser>
          <c:idx val="2"/>
          <c:order val="2"/>
          <c:tx>
            <c:strRef>
              <c:f>'Reference Projections on FY2020'!$D$1</c:f>
              <c:strCache>
                <c:ptCount val="1"/>
                <c:pt idx="0">
                  <c:v>Lower Confidence Bound(Expense Amount )</c:v>
                </c:pt>
              </c:strCache>
            </c:strRef>
          </c:tx>
          <c:spPr>
            <a:ln w="12700" cap="rnd">
              <a:solidFill>
                <a:srgbClr val="ED7D31"/>
              </a:solidFill>
              <a:prstDash val="solid"/>
              <a:round/>
            </a:ln>
            <a:effectLst/>
          </c:spPr>
          <c:marker>
            <c:symbol val="none"/>
          </c:marker>
          <c:cat>
            <c:numRef>
              <c:f>'Reference Projections on FY2020'!$A$2:$A$11</c:f>
              <c:numCache>
                <c:formatCode>General</c:formatCode>
                <c:ptCount val="10"/>
                <c:pt idx="0">
                  <c:v>2012</c:v>
                </c:pt>
                <c:pt idx="1">
                  <c:v>2013</c:v>
                </c:pt>
                <c:pt idx="2">
                  <c:v>2014</c:v>
                </c:pt>
                <c:pt idx="3">
                  <c:v>2015</c:v>
                </c:pt>
                <c:pt idx="4">
                  <c:v>2016</c:v>
                </c:pt>
                <c:pt idx="5">
                  <c:v>2017</c:v>
                </c:pt>
                <c:pt idx="6">
                  <c:v>2018</c:v>
                </c:pt>
                <c:pt idx="7">
                  <c:v>2019</c:v>
                </c:pt>
                <c:pt idx="8">
                  <c:v>2020</c:v>
                </c:pt>
                <c:pt idx="9">
                  <c:v>2021</c:v>
                </c:pt>
              </c:numCache>
            </c:numRef>
          </c:cat>
          <c:val>
            <c:numRef>
              <c:f>'Reference Projections on FY2020'!$D$2:$D$11</c:f>
              <c:numCache>
                <c:formatCode>General</c:formatCode>
                <c:ptCount val="10"/>
                <c:pt idx="7" formatCode="_(&quot;$&quot;* #,##0.00_);_(&quot;$&quot;* \(#,##0.00\);_(&quot;$&quot;* &quot;-&quot;??_);_(@_)">
                  <c:v>933065</c:v>
                </c:pt>
                <c:pt idx="8" formatCode="_(&quot;$&quot;* #,##0.00_);_(&quot;$&quot;* \(#,##0.00\);_(&quot;$&quot;* &quot;-&quot;??_);_(@_)">
                  <c:v>883615.27311977348</c:v>
                </c:pt>
                <c:pt idx="9" formatCode="_(&quot;$&quot;* #,##0.00_);_(&quot;$&quot;* \(#,##0.00\);_(&quot;$&quot;* &quot;-&quot;??_);_(@_)">
                  <c:v>1022572.2494597639</c:v>
                </c:pt>
              </c:numCache>
            </c:numRef>
          </c:val>
          <c:smooth val="0"/>
          <c:extLst>
            <c:ext xmlns:c16="http://schemas.microsoft.com/office/drawing/2014/chart" uri="{C3380CC4-5D6E-409C-BE32-E72D297353CC}">
              <c16:uniqueId val="{00000002-208E-43CC-B1C7-1BF0C5B14F37}"/>
            </c:ext>
          </c:extLst>
        </c:ser>
        <c:ser>
          <c:idx val="3"/>
          <c:order val="3"/>
          <c:tx>
            <c:strRef>
              <c:f>'Reference Projections on FY2020'!$E$1</c:f>
              <c:strCache>
                <c:ptCount val="1"/>
                <c:pt idx="0">
                  <c:v>Upper Confidence Bound(Expense Amount )</c:v>
                </c:pt>
              </c:strCache>
            </c:strRef>
          </c:tx>
          <c:spPr>
            <a:ln w="12700" cap="rnd">
              <a:solidFill>
                <a:srgbClr val="ED7D31"/>
              </a:solidFill>
              <a:prstDash val="solid"/>
              <a:round/>
            </a:ln>
            <a:effectLst/>
          </c:spPr>
          <c:marker>
            <c:symbol val="none"/>
          </c:marker>
          <c:cat>
            <c:numRef>
              <c:f>'Reference Projections on FY2020'!$A$2:$A$11</c:f>
              <c:numCache>
                <c:formatCode>General</c:formatCode>
                <c:ptCount val="10"/>
                <c:pt idx="0">
                  <c:v>2012</c:v>
                </c:pt>
                <c:pt idx="1">
                  <c:v>2013</c:v>
                </c:pt>
                <c:pt idx="2">
                  <c:v>2014</c:v>
                </c:pt>
                <c:pt idx="3">
                  <c:v>2015</c:v>
                </c:pt>
                <c:pt idx="4">
                  <c:v>2016</c:v>
                </c:pt>
                <c:pt idx="5">
                  <c:v>2017</c:v>
                </c:pt>
                <c:pt idx="6">
                  <c:v>2018</c:v>
                </c:pt>
                <c:pt idx="7">
                  <c:v>2019</c:v>
                </c:pt>
                <c:pt idx="8">
                  <c:v>2020</c:v>
                </c:pt>
                <c:pt idx="9">
                  <c:v>2021</c:v>
                </c:pt>
              </c:numCache>
            </c:numRef>
          </c:cat>
          <c:val>
            <c:numRef>
              <c:f>'Reference Projections on FY2020'!$E$2:$E$11</c:f>
              <c:numCache>
                <c:formatCode>General</c:formatCode>
                <c:ptCount val="10"/>
                <c:pt idx="7" formatCode="_(&quot;$&quot;* #,##0.00_);_(&quot;$&quot;* \(#,##0.00\);_(&quot;$&quot;* &quot;-&quot;??_);_(@_)">
                  <c:v>933065</c:v>
                </c:pt>
                <c:pt idx="8" formatCode="_(&quot;$&quot;* #,##0.00_);_(&quot;$&quot;* \(#,##0.00\);_(&quot;$&quot;* &quot;-&quot;??_);_(@_)">
                  <c:v>996790.72159959655</c:v>
                </c:pt>
                <c:pt idx="9" formatCode="_(&quot;$&quot;* #,##0.00_);_(&quot;$&quot;* \(#,##0.00\);_(&quot;$&quot;* &quot;-&quot;??_);_(@_)">
                  <c:v>1136656.750479064</c:v>
                </c:pt>
              </c:numCache>
            </c:numRef>
          </c:val>
          <c:smooth val="0"/>
          <c:extLst>
            <c:ext xmlns:c16="http://schemas.microsoft.com/office/drawing/2014/chart" uri="{C3380CC4-5D6E-409C-BE32-E72D297353CC}">
              <c16:uniqueId val="{00000003-208E-43CC-B1C7-1BF0C5B14F37}"/>
            </c:ext>
          </c:extLst>
        </c:ser>
        <c:dLbls>
          <c:showLegendKey val="0"/>
          <c:showVal val="0"/>
          <c:showCatName val="0"/>
          <c:showSerName val="0"/>
          <c:showPercent val="0"/>
          <c:showBubbleSize val="0"/>
        </c:dLbls>
        <c:smooth val="0"/>
        <c:axId val="666295568"/>
        <c:axId val="662142520"/>
      </c:lineChart>
      <c:catAx>
        <c:axId val="666295568"/>
        <c:scaling>
          <c:orientation val="minMax"/>
        </c:scaling>
        <c:delete val="0"/>
        <c:axPos val="b"/>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2142520"/>
        <c:crosses val="autoZero"/>
        <c:auto val="1"/>
        <c:lblAlgn val="ctr"/>
        <c:lblOffset val="100"/>
        <c:noMultiLvlLbl val="0"/>
      </c:catAx>
      <c:valAx>
        <c:axId val="662142520"/>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00_);_(&quot;$&quot;* \(#,##0.0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62955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editAs="oneCell">
    <xdr:from>
      <xdr:col>1</xdr:col>
      <xdr:colOff>1865313</xdr:colOff>
      <xdr:row>1</xdr:row>
      <xdr:rowOff>2181</xdr:rowOff>
    </xdr:from>
    <xdr:to>
      <xdr:col>6</xdr:col>
      <xdr:colOff>677052</xdr:colOff>
      <xdr:row>9</xdr:row>
      <xdr:rowOff>714375</xdr:rowOff>
    </xdr:to>
    <xdr:pic>
      <xdr:nvPicPr>
        <xdr:cNvPr id="4" name="Picture 3" descr="Image result for aus mcgill">
          <a:extLst>
            <a:ext uri="{FF2B5EF4-FFF2-40B4-BE49-F238E27FC236}">
              <a16:creationId xmlns:a16="http://schemas.microsoft.com/office/drawing/2014/main" id="{39A0FAA8-44D8-48EF-BB4E-B5ACA3CDED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1" y="200619"/>
          <a:ext cx="5344301" cy="40062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282347</xdr:colOff>
      <xdr:row>1</xdr:row>
      <xdr:rowOff>131989</xdr:rowOff>
    </xdr:from>
    <xdr:to>
      <xdr:col>6</xdr:col>
      <xdr:colOff>986517</xdr:colOff>
      <xdr:row>15</xdr:row>
      <xdr:rowOff>176893</xdr:rowOff>
    </xdr:to>
    <xdr:graphicFrame macro="">
      <xdr:nvGraphicFramePr>
        <xdr:cNvPr id="2" name="Chart 1">
          <a:extLst>
            <a:ext uri="{FF2B5EF4-FFF2-40B4-BE49-F238E27FC236}">
              <a16:creationId xmlns:a16="http://schemas.microsoft.com/office/drawing/2014/main" id="{3CD1E890-DC65-4F89-9F81-CE0458D13B1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289151</xdr:colOff>
      <xdr:row>16</xdr:row>
      <xdr:rowOff>119062</xdr:rowOff>
    </xdr:from>
    <xdr:to>
      <xdr:col>7</xdr:col>
      <xdr:colOff>31750</xdr:colOff>
      <xdr:row>32</xdr:row>
      <xdr:rowOff>39687</xdr:rowOff>
    </xdr:to>
    <xdr:graphicFrame macro="">
      <xdr:nvGraphicFramePr>
        <xdr:cNvPr id="3" name="Chart 2">
          <a:extLst>
            <a:ext uri="{FF2B5EF4-FFF2-40B4-BE49-F238E27FC236}">
              <a16:creationId xmlns:a16="http://schemas.microsoft.com/office/drawing/2014/main" id="{221D3928-F1F9-4864-880F-753CC1D6FBA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296067</xdr:colOff>
      <xdr:row>9</xdr:row>
      <xdr:rowOff>19048</xdr:rowOff>
    </xdr:from>
    <xdr:to>
      <xdr:col>14</xdr:col>
      <xdr:colOff>274637</xdr:colOff>
      <xdr:row>30</xdr:row>
      <xdr:rowOff>147637</xdr:rowOff>
    </xdr:to>
    <xdr:graphicFrame macro="">
      <xdr:nvGraphicFramePr>
        <xdr:cNvPr id="4" name="Chart 3">
          <a:extLst>
            <a:ext uri="{FF2B5EF4-FFF2-40B4-BE49-F238E27FC236}">
              <a16:creationId xmlns:a16="http://schemas.microsoft.com/office/drawing/2014/main" id="{BC606792-567C-4A93-A618-53C041EC03F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1</xdr:colOff>
      <xdr:row>14</xdr:row>
      <xdr:rowOff>86406</xdr:rowOff>
    </xdr:from>
    <xdr:to>
      <xdr:col>4</xdr:col>
      <xdr:colOff>2843894</xdr:colOff>
      <xdr:row>37</xdr:row>
      <xdr:rowOff>136073</xdr:rowOff>
    </xdr:to>
    <xdr:graphicFrame macro="">
      <xdr:nvGraphicFramePr>
        <xdr:cNvPr id="2" name="Chart 1">
          <a:extLst>
            <a:ext uri="{FF2B5EF4-FFF2-40B4-BE49-F238E27FC236}">
              <a16:creationId xmlns:a16="http://schemas.microsoft.com/office/drawing/2014/main" id="{C12E2FC8-FB0B-4CFD-B885-BDBB4835B89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1</xdr:colOff>
      <xdr:row>15</xdr:row>
      <xdr:rowOff>123823</xdr:rowOff>
    </xdr:from>
    <xdr:to>
      <xdr:col>5</xdr:col>
      <xdr:colOff>35719</xdr:colOff>
      <xdr:row>38</xdr:row>
      <xdr:rowOff>59531</xdr:rowOff>
    </xdr:to>
    <xdr:graphicFrame macro="">
      <xdr:nvGraphicFramePr>
        <xdr:cNvPr id="2" name="Chart 1">
          <a:extLst>
            <a:ext uri="{FF2B5EF4-FFF2-40B4-BE49-F238E27FC236}">
              <a16:creationId xmlns:a16="http://schemas.microsoft.com/office/drawing/2014/main" id="{CDC48F2A-8556-4080-90D5-70812C70EAA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5</xdr:col>
      <xdr:colOff>276225</xdr:colOff>
      <xdr:row>0</xdr:row>
      <xdr:rowOff>0</xdr:rowOff>
    </xdr:from>
    <xdr:to>
      <xdr:col>9</xdr:col>
      <xdr:colOff>190500</xdr:colOff>
      <xdr:row>12</xdr:row>
      <xdr:rowOff>47626</xdr:rowOff>
    </xdr:to>
    <xdr:graphicFrame macro="">
      <xdr:nvGraphicFramePr>
        <xdr:cNvPr id="2" name="Chart 1">
          <a:extLst>
            <a:ext uri="{FF2B5EF4-FFF2-40B4-BE49-F238E27FC236}">
              <a16:creationId xmlns:a16="http://schemas.microsoft.com/office/drawing/2014/main" id="{DE5D6BF6-B181-42AA-8865-7384ACC7056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5</xdr:col>
      <xdr:colOff>561975</xdr:colOff>
      <xdr:row>0</xdr:row>
      <xdr:rowOff>0</xdr:rowOff>
    </xdr:from>
    <xdr:to>
      <xdr:col>9</xdr:col>
      <xdr:colOff>352425</xdr:colOff>
      <xdr:row>18</xdr:row>
      <xdr:rowOff>142876</xdr:rowOff>
    </xdr:to>
    <xdr:graphicFrame macro="">
      <xdr:nvGraphicFramePr>
        <xdr:cNvPr id="2" name="Chart 1">
          <a:extLst>
            <a:ext uri="{FF2B5EF4-FFF2-40B4-BE49-F238E27FC236}">
              <a16:creationId xmlns:a16="http://schemas.microsoft.com/office/drawing/2014/main" id="{53C76A67-9840-4DC8-8969-69085B4656C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10.xml.rels><?xml version="1.0" encoding="UTF-8" standalone="yes"?>
<Relationships xmlns="http://schemas.openxmlformats.org/package/2006/relationships"><Relationship Id="rId1" Type="http://schemas.openxmlformats.org/officeDocument/2006/relationships/pivotCacheRecords" Target="pivotCacheRecords10.xml"/></Relationships>
</file>

<file path=xl/pivotCache/_rels/pivotCacheDefinition11.xml.rels><?xml version="1.0" encoding="UTF-8" standalone="yes"?>
<Relationships xmlns="http://schemas.openxmlformats.org/package/2006/relationships"><Relationship Id="rId1" Type="http://schemas.openxmlformats.org/officeDocument/2006/relationships/pivotCacheRecords" Target="pivotCacheRecords11.xml"/></Relationships>
</file>

<file path=xl/pivotCache/_rels/pivotCacheDefinition12.xml.rels><?xml version="1.0" encoding="UTF-8" standalone="yes"?>
<Relationships xmlns="http://schemas.openxmlformats.org/package/2006/relationships"><Relationship Id="rId1" Type="http://schemas.openxmlformats.org/officeDocument/2006/relationships/pivotCacheRecords" Target="pivotCacheRecords12.xml"/></Relationships>
</file>

<file path=xl/pivotCache/_rels/pivotCacheDefinition13.xml.rels><?xml version="1.0" encoding="UTF-8" standalone="yes"?>
<Relationships xmlns="http://schemas.openxmlformats.org/package/2006/relationships"><Relationship Id="rId1" Type="http://schemas.openxmlformats.org/officeDocument/2006/relationships/pivotCacheRecords" Target="pivotCacheRecords13.xml"/></Relationships>
</file>

<file path=xl/pivotCache/_rels/pivotCacheDefinition14.xml.rels><?xml version="1.0" encoding="UTF-8" standalone="yes"?>
<Relationships xmlns="http://schemas.openxmlformats.org/package/2006/relationships"><Relationship Id="rId1" Type="http://schemas.openxmlformats.org/officeDocument/2006/relationships/pivotCacheRecords" Target="pivotCacheRecords14.xml"/></Relationships>
</file>

<file path=xl/pivotCache/_rels/pivotCacheDefinition15.xml.rels><?xml version="1.0" encoding="UTF-8" standalone="yes"?>
<Relationships xmlns="http://schemas.openxmlformats.org/package/2006/relationships"><Relationship Id="rId1" Type="http://schemas.openxmlformats.org/officeDocument/2006/relationships/pivotCacheRecords" Target="pivotCacheRecords15.xml"/></Relationships>
</file>

<file path=xl/pivotCache/_rels/pivotCacheDefinition16.xml.rels><?xml version="1.0" encoding="UTF-8" standalone="yes"?>
<Relationships xmlns="http://schemas.openxmlformats.org/package/2006/relationships"><Relationship Id="rId1" Type="http://schemas.openxmlformats.org/officeDocument/2006/relationships/pivotCacheRecords" Target="pivotCacheRecords16.xml"/></Relationships>
</file>

<file path=xl/pivotCache/_rels/pivotCacheDefinition17.xml.rels><?xml version="1.0" encoding="UTF-8" standalone="yes"?>
<Relationships xmlns="http://schemas.openxmlformats.org/package/2006/relationships"><Relationship Id="rId1" Type="http://schemas.openxmlformats.org/officeDocument/2006/relationships/pivotCacheRecords" Target="pivotCacheRecords17.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1" Type="http://schemas.openxmlformats.org/officeDocument/2006/relationships/pivotCacheRecords" Target="pivotCacheRecords4.xml"/></Relationships>
</file>

<file path=xl/pivotCache/_rels/pivotCacheDefinition5.xml.rels><?xml version="1.0" encoding="UTF-8" standalone="yes"?>
<Relationships xmlns="http://schemas.openxmlformats.org/package/2006/relationships"><Relationship Id="rId1" Type="http://schemas.openxmlformats.org/officeDocument/2006/relationships/pivotCacheRecords" Target="pivotCacheRecords5.xml"/></Relationships>
</file>

<file path=xl/pivotCache/_rels/pivotCacheDefinition6.xml.rels><?xml version="1.0" encoding="UTF-8" standalone="yes"?>
<Relationships xmlns="http://schemas.openxmlformats.org/package/2006/relationships"><Relationship Id="rId1" Type="http://schemas.openxmlformats.org/officeDocument/2006/relationships/pivotCacheRecords" Target="pivotCacheRecords6.xml"/></Relationships>
</file>

<file path=xl/pivotCache/_rels/pivotCacheDefinition7.xml.rels><?xml version="1.0" encoding="UTF-8" standalone="yes"?>
<Relationships xmlns="http://schemas.openxmlformats.org/package/2006/relationships"><Relationship Id="rId1" Type="http://schemas.openxmlformats.org/officeDocument/2006/relationships/pivotCacheRecords" Target="pivotCacheRecords7.xml"/></Relationships>
</file>

<file path=xl/pivotCache/_rels/pivotCacheDefinition8.xml.rels><?xml version="1.0" encoding="UTF-8" standalone="yes"?>
<Relationships xmlns="http://schemas.openxmlformats.org/package/2006/relationships"><Relationship Id="rId1" Type="http://schemas.openxmlformats.org/officeDocument/2006/relationships/pivotCacheRecords" Target="pivotCacheRecords8.xml"/></Relationships>
</file>

<file path=xl/pivotCache/_rels/pivotCacheDefinition9.xml.rels><?xml version="1.0" encoding="UTF-8" standalone="yes"?>
<Relationships xmlns="http://schemas.openxmlformats.org/package/2006/relationships"><Relationship Id="rId1" Type="http://schemas.openxmlformats.org/officeDocument/2006/relationships/pivotCacheRecords" Target="pivotCacheRecords9.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tefan Suvajac" refreshedDate="43859.561607870368" createdVersion="6" refreshedVersion="6" minRefreshableVersion="3" recordCount="134" xr:uid="{13140B94-7C36-402F-ACAF-6C55B06003E9}">
  <cacheSource type="worksheet">
    <worksheetSource ref="A101:C235" sheet="12) Departments"/>
  </cacheSource>
  <cacheFields count="3">
    <cacheField name="CLASS" numFmtId="0">
      <sharedItems containsBlank="1" count="34">
        <s v="Department: AGELF"/>
        <m/>
        <s v="Department: AHCSSSA"/>
        <s v="Department ASA "/>
        <s v="Department: ASSA"/>
        <s v="Department: BASiC"/>
        <s v="Department: CLASHA"/>
        <s v="Department: CSA"/>
        <s v="Department: CSAUS"/>
        <s v="Department: CSUS"/>
        <s v="Department: DESA"/>
        <s v="Department: EASSA"/>
        <s v="Department: ESA"/>
        <s v="Department : GSA"/>
        <s v="Department: GSFSSA"/>
        <s v="Department: HSA"/>
        <s v="Department: IDSSA"/>
        <s v="Department: ISSA"/>
        <s v="Department: JSSA"/>
        <s v="DepartmentL: LAPSA"/>
        <s v="Department: MESS"/>
        <s v="Department: MIRA"/>
        <s v="Department: MPSA"/>
        <s v="Department: MUGS"/>
        <s v="Department: PSA"/>
        <s v="Department: PSSA"/>
        <s v="Department: RSUS"/>
        <s v="Department: RSUS: TUSA"/>
        <s v="Depaertment: SLUM"/>
        <s v="Department: SSA"/>
        <s v="Department: SUMS"/>
        <s v="Department: QSSA"/>
        <s v="Department: WIMESSA"/>
        <s v="Department: RUSS" u="1"/>
      </sharedItems>
    </cacheField>
    <cacheField name="General Ledger Account " numFmtId="0">
      <sharedItems containsBlank="1" count="38">
        <s v="Have Not Allocated to GLAs"/>
        <m/>
        <s v="8660 - Allocations "/>
        <s v="6350 - Misc. Events: Food: Samosas"/>
        <s v="9500 - Misc. Events: Drinks"/>
        <s v="7100 - Alcohol "/>
        <s v="9850 - Misc. Events: Food"/>
        <s v="10500 - Security"/>
        <s v="9800 - Meals and Entertainment"/>
        <s v="10310 - Websites"/>
        <s v="6800 - Apparel/Accessories"/>
        <s v="6300 - Journal Printing"/>
        <s v="10300 - Promotional Expenses"/>
        <s v="10450 - Venue Rental"/>
        <s v="Discredtionary Incidental Spending "/>
        <s v="10200 - Stationary and Printing"/>
        <s v="10103 - Performance/Musicians"/>
        <s v="10700 - Transportation"/>
        <s v="7100 - Alcohol" u="1"/>
        <s v="10450 - Venure Rental" u="1"/>
        <s v="6350 - Misc: Events: Food: Samosas" u="1"/>
        <s v="10450 - Venue RentalRentalRental" u="1"/>
        <s v="6700 - Apparel/Accessories" u="1"/>
        <s v="9850 - Misc: Events: Food" u="1"/>
        <s v="6300 - Jounral " u="1"/>
        <s v="10450 - Venue " u="1"/>
        <s v="External Departmental Allocation" u="1"/>
        <s v="10500 - Security " u="1"/>
        <s v="10450 - Venue Rental " u="1"/>
        <s v="7100 -  Alcohol" u="1"/>
        <s v="6300 - Journal Printing " u="1"/>
        <s v="External Departmental Allocation " u="1"/>
        <s v="10450 - Venue RentalRentalRental " u="1"/>
        <s v="6350 - Misc. Events: Food: Samosas " u="1"/>
        <s v="6300 - Jounral Printing" u="1"/>
        <s v="10450 - Venure Rental " u="1"/>
        <s v="10450 - Venue RentalRental" u="1"/>
        <s v="9500 - Misc: Events: Drinks" u="1"/>
      </sharedItems>
    </cacheField>
    <cacheField name="Projected" numFmtId="0">
      <sharedItems containsString="0" containsBlank="1" containsNumber="1" minValue="7" maxValue="11328.53"/>
    </cacheField>
  </cacheFields>
  <extLst>
    <ext xmlns:x14="http://schemas.microsoft.com/office/spreadsheetml/2009/9/main" uri="{725AE2AE-9491-48be-B2B4-4EB974FC3084}">
      <x14:pivotCacheDefinition/>
    </ext>
  </extLst>
</pivotCacheDefinition>
</file>

<file path=xl/pivotCache/pivotCacheDefinition10.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tefan Suvajac" refreshedDate="43859.561610300923" createdVersion="6" refreshedVersion="6" minRefreshableVersion="3" recordCount="5" xr:uid="{984752D9-ACBA-4A13-A66B-1BB395F06322}">
  <cacheSource type="worksheet">
    <worksheetSource ref="A12:C17" sheet="7) VP Communications"/>
  </cacheSource>
  <cacheFields count="3">
    <cacheField name="CLASS " numFmtId="0">
      <sharedItems count="4">
        <s v="VP Communications: FAC"/>
        <s v="VP Communications:  Francophone Commission"/>
        <s v="VP Communications: Marketing Committee "/>
        <s v="VP Communications: Operations "/>
      </sharedItems>
    </cacheField>
    <cacheField name="General Ledger Accounts " numFmtId="0">
      <sharedItems count="6">
        <s v="Discretionary - FAC Compliant - Spending "/>
        <s v="9850 - Misc. Events: Food"/>
        <s v="Discretionary Spending "/>
        <s v="6300 - Journal Printing"/>
        <s v="10310 - Website Fees"/>
        <s v="6300 - Jounral Printing" u="1"/>
      </sharedItems>
    </cacheField>
    <cacheField name="Projected" numFmtId="165">
      <sharedItems containsSemiMixedTypes="0" containsString="0" containsNumber="1" minValue="437.69" maxValue="30000"/>
    </cacheField>
  </cacheFields>
  <extLst>
    <ext xmlns:x14="http://schemas.microsoft.com/office/spreadsheetml/2009/9/main" uri="{725AE2AE-9491-48be-B2B4-4EB974FC3084}">
      <x14:pivotCacheDefinition/>
    </ext>
  </extLst>
</pivotCacheDefinition>
</file>

<file path=xl/pivotCache/pivotCacheDefinition1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tefan Suvajac" refreshedDate="43859.561610532408" createdVersion="6" refreshedVersion="6" minRefreshableVersion="3" recordCount="1" xr:uid="{6577545D-7205-4A7F-B534-F8F7B7B49E88}">
  <cacheSource type="worksheet">
    <worksheetSource ref="A7:C8" sheet="7) VP Communications"/>
  </cacheSource>
  <cacheFields count="3">
    <cacheField name="CLASS" numFmtId="0">
      <sharedItems count="1">
        <s v="VP Communications: FAC"/>
      </sharedItems>
    </cacheField>
    <cacheField name="General Ledger Account " numFmtId="0">
      <sharedItems count="1">
        <s v="4250 - AUS Revenue: AUIF"/>
      </sharedItems>
    </cacheField>
    <cacheField name="Projected" numFmtId="165">
      <sharedItems containsSemiMixedTypes="0" containsString="0" containsNumber="1" containsInteger="1" minValue="30000" maxValue="30000"/>
    </cacheField>
  </cacheFields>
  <extLst>
    <ext xmlns:x14="http://schemas.microsoft.com/office/spreadsheetml/2009/9/main" uri="{725AE2AE-9491-48be-B2B4-4EB974FC3084}">
      <x14:pivotCacheDefinition/>
    </ext>
  </extLst>
</pivotCacheDefinition>
</file>

<file path=xl/pivotCache/pivotCacheDefinition1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tefan Suvajac" refreshedDate="43859.561610763885" createdVersion="6" refreshedVersion="6" minRefreshableVersion="3" recordCount="4" xr:uid="{DFE88850-5204-41ED-ABEF-3CAE44F60443}">
  <cacheSource type="worksheet">
    <worksheetSource ref="A11:C15" sheet="6) VP Academic"/>
  </cacheSource>
  <cacheFields count="3">
    <cacheField name="CLASS" numFmtId="0">
      <sharedItems count="5">
        <s v="VP Academic: Textbook Lending"/>
        <s v="VP Academic: Operations"/>
        <s v="VP Academic: Special Project "/>
        <s v="VP Academic: Peer Tutoring"/>
        <s v="VP Academic: Testbook Lending" u="1"/>
      </sharedItems>
    </cacheField>
    <cacheField name="General Ledger Account " numFmtId="0">
      <sharedItems count="4">
        <s v="Discretionary "/>
        <s v="9850 - Misc. Events: Food"/>
        <s v="Discretionary" u="1"/>
        <s v="6350 - Misc. Events: Food" u="1"/>
      </sharedItems>
    </cacheField>
    <cacheField name="Projected" numFmtId="44">
      <sharedItems containsSemiMixedTypes="0" containsString="0" containsNumber="1" containsInteger="1" minValue="400" maxValue="5000"/>
    </cacheField>
  </cacheFields>
  <extLst>
    <ext xmlns:x14="http://schemas.microsoft.com/office/spreadsheetml/2009/9/main" uri="{725AE2AE-9491-48be-B2B4-4EB974FC3084}">
      <x14:pivotCacheDefinition/>
    </ext>
  </extLst>
</pivotCacheDefinition>
</file>

<file path=xl/pivotCache/pivotCacheDefinition1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tefan Suvajac" refreshedDate="43859.561610879631" createdVersion="6" refreshedVersion="6" minRefreshableVersion="3" recordCount="26" xr:uid="{6701A170-1180-4DFA-9F91-699BAB301C7A}">
  <cacheSource type="worksheet">
    <worksheetSource ref="A16:C42" sheet="5) VP Finance"/>
  </cacheSource>
  <cacheFields count="3">
    <cacheField name="CLASS " numFmtId="0">
      <sharedItems count="8">
        <s v="VP Finance: FMC: Jounral "/>
        <s v="VP Finance: FMC: Special Project"/>
        <s v="VP Finance: FMC: Supplementary "/>
        <s v="VP Finance: Special Projects "/>
        <s v="VP Finance: Operations "/>
        <s v="VP Finance: EBPC"/>
        <s v="VP Finance: AUTS"/>
        <s v="Different QBO - SNAX "/>
      </sharedItems>
    </cacheField>
    <cacheField name="General Ledger Account " numFmtId="0">
      <sharedItems count="24">
        <s v="Discretionatry Spending "/>
        <s v="6851 - Subcontractors"/>
        <s v="8300 - Bank Charges "/>
        <s v="6500 - Memorandum of Agreement: Accounting Fees"/>
        <s v="9850 - Misc. Events: Food"/>
        <s v="10100 - Payroll Expenses: Taxes"/>
        <s v="10000 - Dues and Subscriptions "/>
        <s v="10240 - Legal and Professional Fees"/>
        <s v="6000 - Amortization Pool &amp; Furniture"/>
        <s v="6100 - Amortization Equipment "/>
        <s v="8503 - Utilities "/>
        <s v="7800 - Phone Charges "/>
        <s v="10450 - Venue Rental "/>
        <s v="10300 - Promotional Expenses "/>
        <s v="10200 - Stationary and Printing "/>
        <s v="10310 - Website Fees"/>
        <s v="6400 - Theater Supplies "/>
        <s v="10103 - Performance/Musicians "/>
        <s v="6050 - Taxes and Licenses "/>
        <s v="10104 - Purchases "/>
        <s v="MOA SNAX RENTAL "/>
        <s v="10101 - Payroll Expenses: Taxes" u="1"/>
        <s v="6350 - Misc. Events: Food" u="1"/>
        <s v="Discretionary Spending" u="1"/>
      </sharedItems>
    </cacheField>
    <cacheField name="Projected" numFmtId="0">
      <sharedItems containsSemiMixedTypes="0" containsString="0" containsNumber="1" minValue="115" maxValue="169263.51"/>
    </cacheField>
  </cacheFields>
  <extLst>
    <ext xmlns:x14="http://schemas.microsoft.com/office/spreadsheetml/2009/9/main" uri="{725AE2AE-9491-48be-B2B4-4EB974FC3084}">
      <x14:pivotCacheDefinition/>
    </ext>
  </extLst>
</pivotCacheDefinition>
</file>

<file path=xl/pivotCache/pivotCacheDefinition14.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tefan Suvajac" refreshedDate="43859.561611111109" createdVersion="6" refreshedVersion="6" minRefreshableVersion="3" recordCount="6" xr:uid="{9DBE206A-2633-4884-B6FC-0B0436F6B17B}">
  <cacheSource type="worksheet">
    <worksheetSource ref="A7:C13" sheet="5) VP Finance"/>
  </cacheSource>
  <cacheFields count="3">
    <cacheField name="CLASS " numFmtId="0">
      <sharedItems count="3">
        <s v="VP Finance: Operations "/>
        <s v="Different QBO - SNAX "/>
        <s v="VP Finance: AUTS"/>
      </sharedItems>
    </cacheField>
    <cacheField name="General Ledger Account " numFmtId="0">
      <sharedItems count="6">
        <s v="Student Fees "/>
        <s v="Student Fees: AUTS"/>
        <s v="8660 - Allocations "/>
        <s v="4150 - Interest Earned"/>
        <s v="4350 - SNAX Sales "/>
        <s v="3985 - Sales of Product Income "/>
      </sharedItems>
    </cacheField>
    <cacheField name="Projected" numFmtId="165">
      <sharedItems containsSemiMixedTypes="0" containsString="0" containsNumber="1" minValue="5150" maxValue="266552.36"/>
    </cacheField>
  </cacheFields>
  <extLst>
    <ext xmlns:x14="http://schemas.microsoft.com/office/spreadsheetml/2009/9/main" uri="{725AE2AE-9491-48be-B2B4-4EB974FC3084}">
      <x14:pivotCacheDefinition/>
    </ext>
  </extLst>
</pivotCacheDefinition>
</file>

<file path=xl/pivotCache/pivotCacheDefinition15.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tefan Suvajac" refreshedDate="43859.561611342593" createdVersion="6" refreshedVersion="6" minRefreshableVersion="3" recordCount="18" xr:uid="{A0079786-48DC-4F72-A5DC-176E440183C9}">
  <cacheSource type="worksheet">
    <worksheetSource ref="A11:C29" sheet="4) VP Internal"/>
  </cacheSource>
  <cacheFields count="3">
    <cacheField name="CLASS" numFmtId="0">
      <sharedItems count="8">
        <s v="VP Internal: Departmental Fair"/>
        <s v="VP Internal: AUS Awards"/>
        <s v="VP Internal: AUS Holiday Party"/>
        <s v="VP Internal: Departmental Orientation"/>
        <s v="VP Internal: FEARC"/>
        <s v="VP Internal: Operations"/>
        <s v="VP Internal: AUSec"/>
        <s v="VP Internal: Operating "/>
      </sharedItems>
    </cacheField>
    <cacheField name="General Ledger Account " numFmtId="0">
      <sharedItems count="12">
        <s v="10450 - Venue Rental "/>
        <s v="7100 - Alcohol "/>
        <s v="9850 - Misc. Events: Food"/>
        <s v="10700 - Transportation"/>
        <s v="9700 - Hotels and Accomodation"/>
        <s v="10200 - Stationary and Printing"/>
        <s v="Discretionary Spending"/>
        <s v="8000 - Supplies"/>
        <s v="10000 - Dues and Subscriptions"/>
        <s v="7200 - Liquor Permits"/>
        <s v="8100 - Advertising/Promotional "/>
        <s v="10107 - Purchases " u="1"/>
      </sharedItems>
    </cacheField>
    <cacheField name="Projected" numFmtId="165">
      <sharedItems containsSemiMixedTypes="0" containsString="0" containsNumber="1" containsInteger="1" minValue="60" maxValue="5000"/>
    </cacheField>
  </cacheFields>
  <extLst>
    <ext xmlns:x14="http://schemas.microsoft.com/office/spreadsheetml/2009/9/main" uri="{725AE2AE-9491-48be-B2B4-4EB974FC3084}">
      <x14:pivotCacheDefinition/>
    </ext>
  </extLst>
</pivotCacheDefinition>
</file>

<file path=xl/pivotCache/pivotCacheDefinition16.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tefan Suvajac" refreshedDate="43859.561611458332" createdVersion="6" refreshedVersion="6" minRefreshableVersion="3" recordCount="1" xr:uid="{1709AC93-03DA-42F3-9EC7-11265BF22FE4}">
  <cacheSource type="worksheet">
    <worksheetSource ref="A7:C8" sheet="4) VP Internal"/>
  </cacheSource>
  <cacheFields count="3">
    <cacheField name="CLASS" numFmtId="0">
      <sharedItems count="1">
        <s v="VP Internal: FEARC"/>
      </sharedItems>
    </cacheField>
    <cacheField name="General Ledger Account " numFmtId="0">
      <sharedItems count="1">
        <s v="3900 - AUS Revenues: Refistration Fees"/>
      </sharedItems>
    </cacheField>
    <cacheField name="Projected" numFmtId="165">
      <sharedItems containsSemiMixedTypes="0" containsString="0" containsNumber="1" containsInteger="1" minValue="1500" maxValue="1500"/>
    </cacheField>
  </cacheFields>
  <extLst>
    <ext xmlns:x14="http://schemas.microsoft.com/office/spreadsheetml/2009/9/main" uri="{725AE2AE-9491-48be-B2B4-4EB974FC3084}">
      <x14:pivotCacheDefinition/>
    </ext>
  </extLst>
</pivotCacheDefinition>
</file>

<file path=xl/pivotCache/pivotCacheDefinition17.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tefan Suvajac" refreshedDate="43859.561611689816" createdVersion="6" refreshedVersion="6" minRefreshableVersion="3" recordCount="14" xr:uid="{3060F069-5C7E-4020-812C-7BEAC80D7727}">
  <cacheSource type="worksheet">
    <worksheetSource ref="A11:C25" sheet="3) President"/>
  </cacheSource>
  <cacheFields count="3">
    <cacheField name="CLASS" numFmtId="0">
      <sharedItems count="6">
        <s v="President: Provide Support Chatline"/>
        <s v="President: Special Projects "/>
        <s v="President: Executive Committee"/>
        <s v="President: Executive Retreat "/>
        <s v="President: Equity "/>
        <s v="President: Operating "/>
      </sharedItems>
    </cacheField>
    <cacheField name="General Ledger Account " numFmtId="0">
      <sharedItems count="11">
        <s v="Discretionary Spending"/>
        <s v="9850 - Misc. Events: Food"/>
        <s v="6800 - Apparel/Accessories"/>
        <s v="7100 - Alcohol"/>
        <s v="10701 - Travel"/>
        <s v="9700 - Hotels and Accomodations"/>
        <s v="10450 - Venue Rental "/>
        <s v="10200 - Stationary and Printing"/>
        <s v="10000 - Dues and Subscriptions"/>
        <s v="7500 - Insurance"/>
        <s v="10240 - Legal and Professional Fees"/>
      </sharedItems>
    </cacheField>
    <cacheField name="Projected" numFmtId="0">
      <sharedItems containsSemiMixedTypes="0" containsString="0" containsNumber="1" containsInteger="1" minValue="100" maxValue="10500"/>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tefan Suvajac" refreshedDate="43859.561608449076" createdVersion="6" refreshedVersion="6" minRefreshableVersion="3" recordCount="89" xr:uid="{CFE62BDA-645B-46EE-9E8B-000F4E9CA0BF}">
  <cacheSource type="worksheet">
    <worksheetSource ref="A8:C97" sheet="12) Departments"/>
  </cacheSource>
  <cacheFields count="3">
    <cacheField name="CLASS" numFmtId="0">
      <sharedItems containsBlank="1" count="35">
        <s v="Department: AGELF"/>
        <m/>
        <s v="Department: AHCSSSA"/>
        <s v="Department ASA "/>
        <s v="Department: ASSA"/>
        <s v="Department: BASiC"/>
        <s v="Department: CLASHA"/>
        <s v="Department CSA"/>
        <s v="Department: CSAUS"/>
        <s v="Department: CSUS"/>
        <s v="Department: DESA"/>
        <s v="Department: EASSA"/>
        <s v="Department: ESA"/>
        <s v="Department: GSA"/>
        <s v="Department: GSFSSA"/>
        <s v="Department: HSA"/>
        <s v="Department: IDSSA"/>
        <s v="Department: ISSA"/>
        <s v="Department: JSSA"/>
        <s v="Department: LAPSA"/>
        <s v="Department: MESS"/>
        <s v="Department: MIRA"/>
        <s v="Department: MPSA"/>
        <s v="Department: MUGS"/>
        <s v="Department: PSA"/>
        <s v="Department: PSSA"/>
        <s v="Department: RSUS"/>
        <s v="Department: RUSS"/>
        <s v="Department: SLUM"/>
        <s v="Department: SSA"/>
        <s v="Department: SUMS"/>
        <s v="Department: QSSA"/>
        <s v="Department: WIMESSA"/>
        <s v="DepartmentL: LAPSA" u="1"/>
        <s v="Depaertment: SLUM" u="1"/>
      </sharedItems>
    </cacheField>
    <cacheField name="General Ledger Account " numFmtId="0">
      <sharedItems containsBlank="1" count="16">
        <s v="Have Not Allocated to GLAs"/>
        <m/>
        <s v="3450 - Sales: Samosa Sales "/>
        <s v="3985 - Sales of Product Income "/>
        <s v="3250 - Apparel Revenue"/>
        <s v="4020 - SSMU Sponsorship"/>
        <s v="4010 - DADF Sponsorhsip Revenue"/>
        <s v="4000 - Sponsorship Received "/>
        <s v="3985 - Sales of Product Income"/>
        <s v="3900 - AUS Revenue: Registration Fees (Events)"/>
        <s v="3250 - Apparel Revenue " u="1"/>
        <s v="3900 - AUS Revenue: Registration Fees (Events) " u="1"/>
        <s v="3450 - Sales: Samosa Sales" u="1"/>
        <s v="3450 -Sales: Samosa Sales" u="1"/>
        <s v="3250 -Apparel Revenue" u="1"/>
        <s v="3985 - Sales of Product Invcome" u="1"/>
      </sharedItems>
    </cacheField>
    <cacheField name="Projected" numFmtId="165">
      <sharedItems containsString="0" containsBlank="1" containsNumber="1" minValue="0" maxValue="12000"/>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tefan Suvajac" refreshedDate="43859.561608796299" createdVersion="6" refreshedVersion="6" minRefreshableVersion="3" recordCount="4" xr:uid="{F06C2B56-88AF-4532-81AE-E617DFF58A67}">
  <cacheSource type="worksheet">
    <worksheetSource ref="E9:G13" sheet="11) Stipends and Wages FY2020"/>
  </cacheSource>
  <cacheFields count="3">
    <cacheField name="Class" numFmtId="0">
      <sharedItems count="2">
        <s v="Different QBO - SNAX"/>
        <s v="Stipends and Wages "/>
      </sharedItems>
    </cacheField>
    <cacheField name="General Ledger Account" numFmtId="0">
      <sharedItems count="4">
        <s v="8502 - SNAX Payroll  "/>
        <s v="10101 - Payroll Expense: Wages"/>
        <s v="10102 - Peer Tutoring"/>
        <s v="6850 - Stipends"/>
      </sharedItems>
    </cacheField>
    <cacheField name="Projected " numFmtId="44">
      <sharedItems containsSemiMixedTypes="0" containsString="0" containsNumber="1" containsInteger="1" minValue="6000" maxValue="105435"/>
    </cacheField>
  </cacheFields>
  <extLst>
    <ext xmlns:x14="http://schemas.microsoft.com/office/spreadsheetml/2009/9/main" uri="{725AE2AE-9491-48be-B2B4-4EB974FC3084}">
      <x14:pivotCacheDefinition/>
    </ext>
  </extLst>
</pivotCacheDefinition>
</file>

<file path=xl/pivotCache/pivotCacheDefinition4.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tefan Suvajac" refreshedDate="43859.561609143515" createdVersion="6" refreshedVersion="6" minRefreshableVersion="3" recordCount="7" xr:uid="{1979D4E6-EC87-4EED-9413-402BCBAB16D0}">
  <cacheSource type="worksheet">
    <worksheetSource ref="A13:C20" sheet="10) VP Social"/>
  </cacheSource>
  <cacheFields count="3">
    <cacheField name="CLASS" numFmtId="0">
      <sharedItems count="3">
        <s v="VP Social: BDA "/>
        <s v="VP Social: Epic "/>
        <s v="VP Social: Grad Ball "/>
      </sharedItems>
    </cacheField>
    <cacheField name="General Ledger Account " numFmtId="0">
      <sharedItems count="5">
        <s v="9850 - Misc. Events:Food"/>
        <s v="7100 - Alcohol "/>
        <s v="10450 - Venue Rental "/>
        <s v="8100 - Advertising/Promotional "/>
        <s v="Discretionary "/>
      </sharedItems>
    </cacheField>
    <cacheField name="Projected" numFmtId="0">
      <sharedItems containsSemiMixedTypes="0" containsString="0" containsNumber="1" containsInteger="1" minValue="2000" maxValue="85000"/>
    </cacheField>
  </cacheFields>
  <extLst>
    <ext xmlns:x14="http://schemas.microsoft.com/office/spreadsheetml/2009/9/main" uri="{725AE2AE-9491-48be-B2B4-4EB974FC3084}">
      <x14:pivotCacheDefinition/>
    </ext>
  </extLst>
</pivotCacheDefinition>
</file>

<file path=xl/pivotCache/pivotCacheDefinition5.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tefan Suvajac" refreshedDate="43859.561609259261" createdVersion="6" refreshedVersion="6" minRefreshableVersion="3" recordCount="3" xr:uid="{8CA2B946-320D-4D42-B22A-FA4154EA689A}">
  <cacheSource type="worksheet">
    <worksheetSource ref="A7:C10" sheet="10) VP Social"/>
  </cacheSource>
  <cacheFields count="3">
    <cacheField name="CLASS" numFmtId="0">
      <sharedItems count="3">
        <s v="VP Social: BDA "/>
        <s v="VP Social: Epic "/>
        <s v="VP Social: Grad Ball "/>
      </sharedItems>
    </cacheField>
    <cacheField name="General Ledger Account " numFmtId="0">
      <sharedItems count="1">
        <s v="3900 - AUS Revenue: Registration Fees"/>
      </sharedItems>
    </cacheField>
    <cacheField name="Projected" numFmtId="165">
      <sharedItems containsSemiMixedTypes="0" containsString="0" containsNumber="1" containsInteger="1" minValue="8500" maxValue="110000"/>
    </cacheField>
  </cacheFields>
  <extLst>
    <ext xmlns:x14="http://schemas.microsoft.com/office/spreadsheetml/2009/9/main" uri="{725AE2AE-9491-48be-B2B4-4EB974FC3084}">
      <x14:pivotCacheDefinition/>
    </ext>
  </extLst>
</pivotCacheDefinition>
</file>

<file path=xl/pivotCache/pivotCacheDefinition6.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tefan Suvajac" refreshedDate="43859.561609490738" createdVersion="6" refreshedVersion="6" minRefreshableVersion="3" recordCount="4" xr:uid="{03A40FE4-BC9E-4FF8-B4A4-DF9811C96DF2}">
  <cacheSource type="worksheet">
    <worksheetSource ref="A13:C17" sheet="9) VP Services"/>
  </cacheSource>
  <cacheFields count="3">
    <cacheField name="CLASS" numFmtId="0">
      <sharedItems count="2">
        <s v="VP Services: Essay Center "/>
        <s v="VP Services: Media Team"/>
      </sharedItems>
    </cacheField>
    <cacheField name="General Ledger Account " numFmtId="0">
      <sharedItems count="5">
        <s v="9401 - Gifts/Cards"/>
        <s v="9850 - Misc. Events:Food"/>
        <s v="10200 - Stationery and Printing "/>
        <s v="8100 - Advertising/Promotional"/>
        <s v="9400 - Gifts/Cards" u="1"/>
      </sharedItems>
    </cacheField>
    <cacheField name="Projected" numFmtId="0">
      <sharedItems containsSemiMixedTypes="0" containsString="0" containsNumber="1" containsInteger="1" minValue="250" maxValue="800"/>
    </cacheField>
  </cacheFields>
  <extLst>
    <ext xmlns:x14="http://schemas.microsoft.com/office/spreadsheetml/2009/9/main" uri="{725AE2AE-9491-48be-B2B4-4EB974FC3084}">
      <x14:pivotCacheDefinition/>
    </ext>
  </extLst>
</pivotCacheDefinition>
</file>

<file path=xl/pivotCache/pivotCacheDefinition7.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tefan Suvajac" refreshedDate="43859.561609722223" createdVersion="6" refreshedVersion="6" minRefreshableVersion="3" recordCount="3" xr:uid="{B6F1BBE6-8975-4D10-A7F0-1D73577F19C9}">
  <cacheSource type="worksheet">
    <worksheetSource ref="A7:C10" sheet="9) VP Services"/>
  </cacheSource>
  <cacheFields count="3">
    <cacheField name="CLASS" numFmtId="0">
      <sharedItems count="1">
        <s v="VP Services: Operating "/>
      </sharedItems>
    </cacheField>
    <cacheField name="General Ledger Account " numFmtId="0">
      <sharedItems count="3">
        <s v="3990 - Services"/>
        <s v="Table Booking Revenue"/>
        <s v="4000 - Sponsorship Received"/>
      </sharedItems>
    </cacheField>
    <cacheField name="Projected" numFmtId="165">
      <sharedItems containsSemiMixedTypes="0" containsString="0" containsNumber="1" containsInteger="1" minValue="2200" maxValue="5000"/>
    </cacheField>
  </cacheFields>
  <extLst>
    <ext xmlns:x14="http://schemas.microsoft.com/office/spreadsheetml/2009/9/main" uri="{725AE2AE-9491-48be-B2B4-4EB974FC3084}">
      <x14:pivotCacheDefinition/>
    </ext>
  </extLst>
</pivotCacheDefinition>
</file>

<file path=xl/pivotCache/pivotCacheDefinition8.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tefan Suvajac" refreshedDate="43859.561609837961" createdVersion="6" refreshedVersion="6" minRefreshableVersion="3" recordCount="7" xr:uid="{86E2481E-5C5A-4A0C-A4B3-F79024ACEBE0}">
  <cacheSource type="worksheet">
    <worksheetSource ref="A13:C20" sheet="8) VP External"/>
  </cacheSource>
  <cacheFields count="3">
    <cacheField name="CLASS " numFmtId="0">
      <sharedItems count="5">
        <s v="VP External: Grad Fair "/>
        <s v="VP External: ACEC"/>
        <s v="VP External: MHAUS"/>
        <s v="VP External: CSEC"/>
        <s v="VP External: Work Your BA"/>
      </sharedItems>
    </cacheField>
    <cacheField name="General Ledger Accounts " numFmtId="0">
      <sharedItems count="4">
        <s v="10450 - Venue Rental "/>
        <s v="9850 - Misc. Events: Food"/>
        <s v="Discretionary Spending "/>
        <s v="Discredtionary Spending " u="1"/>
      </sharedItems>
    </cacheField>
    <cacheField name="Projected" numFmtId="165">
      <sharedItems containsSemiMixedTypes="0" containsString="0" containsNumber="1" containsInteger="1" minValue="800" maxValue="5000"/>
    </cacheField>
  </cacheFields>
  <extLst>
    <ext xmlns:x14="http://schemas.microsoft.com/office/spreadsheetml/2009/9/main" uri="{725AE2AE-9491-48be-B2B4-4EB974FC3084}">
      <x14:pivotCacheDefinition/>
    </ext>
  </extLst>
</pivotCacheDefinition>
</file>

<file path=xl/pivotCache/pivotCacheDefinition9.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tefan Suvajac" refreshedDate="43859.561610069446" createdVersion="6" refreshedVersion="6" minRefreshableVersion="3" recordCount="2" xr:uid="{F4C1822D-0F62-4566-A86D-F54C85923D2B}">
  <cacheSource type="worksheet">
    <worksheetSource ref="A7:C9" sheet="8) VP External"/>
  </cacheSource>
  <cacheFields count="3">
    <cacheField name="CLASS " numFmtId="0">
      <sharedItems count="2">
        <s v="VP External: Grad Fair "/>
        <s v="VP External: Operations "/>
      </sharedItems>
    </cacheField>
    <cacheField name="General Ledger Accounts " numFmtId="0">
      <sharedItems count="3">
        <s v="3900 - AUS Revenue: Registration Fees"/>
        <s v="4000 - Sponsorship Received"/>
        <s v="3900 - AUS Revenuew: Registration Fees" u="1"/>
      </sharedItems>
    </cacheField>
    <cacheField name="Projected" numFmtId="165">
      <sharedItems containsSemiMixedTypes="0" containsString="0" containsNumber="1" containsInteger="1" minValue="1500" maxValue="2500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34">
  <r>
    <x v="0"/>
    <x v="0"/>
    <n v="945"/>
  </r>
  <r>
    <x v="1"/>
    <x v="1"/>
    <m/>
  </r>
  <r>
    <x v="2"/>
    <x v="0"/>
    <n v="1615"/>
  </r>
  <r>
    <x v="1"/>
    <x v="1"/>
    <m/>
  </r>
  <r>
    <x v="3"/>
    <x v="0"/>
    <n v="1310.56"/>
  </r>
  <r>
    <x v="1"/>
    <x v="1"/>
    <m/>
  </r>
  <r>
    <x v="4"/>
    <x v="0"/>
    <n v="830"/>
  </r>
  <r>
    <x v="1"/>
    <x v="1"/>
    <m/>
  </r>
  <r>
    <x v="5"/>
    <x v="2"/>
    <n v="1090.9000000000001"/>
  </r>
  <r>
    <x v="1"/>
    <x v="1"/>
    <m/>
  </r>
  <r>
    <x v="6"/>
    <x v="3"/>
    <n v="640"/>
  </r>
  <r>
    <x v="6"/>
    <x v="4"/>
    <n v="120"/>
  </r>
  <r>
    <x v="6"/>
    <x v="5"/>
    <n v="490"/>
  </r>
  <r>
    <x v="6"/>
    <x v="6"/>
    <n v="410"/>
  </r>
  <r>
    <x v="6"/>
    <x v="7"/>
    <n v="7"/>
  </r>
  <r>
    <x v="6"/>
    <x v="8"/>
    <n v="170"/>
  </r>
  <r>
    <x v="1"/>
    <x v="1"/>
    <m/>
  </r>
  <r>
    <x v="7"/>
    <x v="5"/>
    <n v="700"/>
  </r>
  <r>
    <x v="7"/>
    <x v="3"/>
    <n v="340"/>
  </r>
  <r>
    <x v="7"/>
    <x v="9"/>
    <n v="24"/>
  </r>
  <r>
    <x v="7"/>
    <x v="6"/>
    <n v="730"/>
  </r>
  <r>
    <x v="7"/>
    <x v="10"/>
    <n v="800"/>
  </r>
  <r>
    <x v="7"/>
    <x v="4"/>
    <n v="150"/>
  </r>
  <r>
    <x v="7"/>
    <x v="11"/>
    <n v="220"/>
  </r>
  <r>
    <x v="7"/>
    <x v="12"/>
    <n v="30"/>
  </r>
  <r>
    <x v="1"/>
    <x v="1"/>
    <m/>
  </r>
  <r>
    <x v="8"/>
    <x v="11"/>
    <n v="300"/>
  </r>
  <r>
    <x v="8"/>
    <x v="6"/>
    <n v="200"/>
  </r>
  <r>
    <x v="8"/>
    <x v="12"/>
    <n v="50"/>
  </r>
  <r>
    <x v="1"/>
    <x v="1"/>
    <m/>
  </r>
  <r>
    <x v="9"/>
    <x v="2"/>
    <n v="1272.46"/>
  </r>
  <r>
    <x v="1"/>
    <x v="1"/>
    <m/>
  </r>
  <r>
    <x v="10"/>
    <x v="5"/>
    <n v="450"/>
  </r>
  <r>
    <x v="1"/>
    <x v="6"/>
    <n v="185"/>
  </r>
  <r>
    <x v="1"/>
    <x v="13"/>
    <n v="225"/>
  </r>
  <r>
    <x v="1"/>
    <x v="11"/>
    <n v="3150"/>
  </r>
  <r>
    <x v="1"/>
    <x v="1"/>
    <m/>
  </r>
  <r>
    <x v="11"/>
    <x v="5"/>
    <n v="60"/>
  </r>
  <r>
    <x v="1"/>
    <x v="6"/>
    <n v="300"/>
  </r>
  <r>
    <x v="1"/>
    <x v="10"/>
    <n v="100"/>
  </r>
  <r>
    <x v="1"/>
    <x v="1"/>
    <m/>
  </r>
  <r>
    <x v="12"/>
    <x v="0"/>
    <n v="7640"/>
  </r>
  <r>
    <x v="1"/>
    <x v="1"/>
    <m/>
  </r>
  <r>
    <x v="13"/>
    <x v="5"/>
    <n v="180"/>
  </r>
  <r>
    <x v="13"/>
    <x v="6"/>
    <n v="475"/>
  </r>
  <r>
    <x v="13"/>
    <x v="13"/>
    <n v="10"/>
  </r>
  <r>
    <x v="1"/>
    <x v="1"/>
    <m/>
  </r>
  <r>
    <x v="14"/>
    <x v="6"/>
    <n v="435"/>
  </r>
  <r>
    <x v="14"/>
    <x v="13"/>
    <n v="250"/>
  </r>
  <r>
    <x v="14"/>
    <x v="5"/>
    <n v="150"/>
  </r>
  <r>
    <x v="1"/>
    <x v="1"/>
    <m/>
  </r>
  <r>
    <x v="15"/>
    <x v="9"/>
    <n v="127.5"/>
  </r>
  <r>
    <x v="15"/>
    <x v="11"/>
    <n v="500"/>
  </r>
  <r>
    <x v="15"/>
    <x v="6"/>
    <n v="353.59"/>
  </r>
  <r>
    <x v="15"/>
    <x v="5"/>
    <n v="380"/>
  </r>
  <r>
    <x v="15"/>
    <x v="4"/>
    <n v="21.79"/>
  </r>
  <r>
    <x v="15"/>
    <x v="10"/>
    <n v="2480"/>
  </r>
  <r>
    <x v="15"/>
    <x v="13"/>
    <n v="600"/>
  </r>
  <r>
    <x v="15"/>
    <x v="7"/>
    <n v="51.74"/>
  </r>
  <r>
    <x v="15"/>
    <x v="14"/>
    <n v="210"/>
  </r>
  <r>
    <x v="1"/>
    <x v="1"/>
    <m/>
  </r>
  <r>
    <x v="16"/>
    <x v="5"/>
    <n v="2432.2199999999998"/>
  </r>
  <r>
    <x v="16"/>
    <x v="6"/>
    <n v="1660"/>
  </r>
  <r>
    <x v="16"/>
    <x v="4"/>
    <n v="85"/>
  </r>
  <r>
    <x v="16"/>
    <x v="13"/>
    <n v="250"/>
  </r>
  <r>
    <x v="16"/>
    <x v="15"/>
    <n v="136.72"/>
  </r>
  <r>
    <x v="16"/>
    <x v="12"/>
    <n v="900"/>
  </r>
  <r>
    <x v="16"/>
    <x v="9"/>
    <n v="361.75"/>
  </r>
  <r>
    <x v="16"/>
    <x v="11"/>
    <n v="100"/>
  </r>
  <r>
    <x v="16"/>
    <x v="10"/>
    <n v="650"/>
  </r>
  <r>
    <x v="1"/>
    <x v="1"/>
    <m/>
  </r>
  <r>
    <x v="17"/>
    <x v="0"/>
    <n v="550"/>
  </r>
  <r>
    <x v="1"/>
    <x v="1"/>
    <m/>
  </r>
  <r>
    <x v="18"/>
    <x v="0"/>
    <n v="540"/>
  </r>
  <r>
    <x v="1"/>
    <x v="1"/>
    <m/>
  </r>
  <r>
    <x v="19"/>
    <x v="5"/>
    <n v="160"/>
  </r>
  <r>
    <x v="19"/>
    <x v="6"/>
    <n v="350"/>
  </r>
  <r>
    <x v="19"/>
    <x v="10"/>
    <n v="250"/>
  </r>
  <r>
    <x v="1"/>
    <x v="1"/>
    <m/>
  </r>
  <r>
    <x v="20"/>
    <x v="2"/>
    <n v="739.04"/>
  </r>
  <r>
    <x v="1"/>
    <x v="1"/>
    <m/>
  </r>
  <r>
    <x v="21"/>
    <x v="5"/>
    <n v="950"/>
  </r>
  <r>
    <x v="21"/>
    <x v="6"/>
    <n v="2410"/>
  </r>
  <r>
    <x v="21"/>
    <x v="15"/>
    <n v="1205"/>
  </r>
  <r>
    <x v="21"/>
    <x v="13"/>
    <n v="2535"/>
  </r>
  <r>
    <x v="21"/>
    <x v="4"/>
    <n v="120"/>
  </r>
  <r>
    <x v="21"/>
    <x v="10"/>
    <n v="3493.99"/>
  </r>
  <r>
    <x v="21"/>
    <x v="3"/>
    <n v="420"/>
  </r>
  <r>
    <x v="21"/>
    <x v="12"/>
    <n v="1335"/>
  </r>
  <r>
    <x v="1"/>
    <x v="1"/>
    <m/>
  </r>
  <r>
    <x v="22"/>
    <x v="2"/>
    <n v="7761.4"/>
  </r>
  <r>
    <x v="1"/>
    <x v="1"/>
    <m/>
  </r>
  <r>
    <x v="23"/>
    <x v="2"/>
    <n v="593.02"/>
  </r>
  <r>
    <x v="1"/>
    <x v="1"/>
    <m/>
  </r>
  <r>
    <x v="24"/>
    <x v="0"/>
    <n v="1693.66"/>
  </r>
  <r>
    <x v="1"/>
    <x v="1"/>
    <m/>
  </r>
  <r>
    <x v="25"/>
    <x v="0"/>
    <n v="11328.53"/>
  </r>
  <r>
    <x v="1"/>
    <x v="1"/>
    <m/>
  </r>
  <r>
    <x v="26"/>
    <x v="5"/>
    <n v="240"/>
  </r>
  <r>
    <x v="26"/>
    <x v="6"/>
    <n v="700"/>
  </r>
  <r>
    <x v="1"/>
    <x v="1"/>
    <m/>
  </r>
  <r>
    <x v="27"/>
    <x v="10"/>
    <n v="170"/>
  </r>
  <r>
    <x v="27"/>
    <x v="6"/>
    <n v="50"/>
  </r>
  <r>
    <x v="27"/>
    <x v="4"/>
    <n v="24"/>
  </r>
  <r>
    <x v="27"/>
    <x v="8"/>
    <n v="45"/>
  </r>
  <r>
    <x v="27"/>
    <x v="15"/>
    <n v="50"/>
  </r>
  <r>
    <x v="27"/>
    <x v="12"/>
    <n v="50"/>
  </r>
  <r>
    <x v="27"/>
    <x v="13"/>
    <n v="150"/>
  </r>
  <r>
    <x v="1"/>
    <x v="1"/>
    <m/>
  </r>
  <r>
    <x v="28"/>
    <x v="3"/>
    <n v="340"/>
  </r>
  <r>
    <x v="28"/>
    <x v="6"/>
    <n v="935"/>
  </r>
  <r>
    <x v="28"/>
    <x v="5"/>
    <n v="250"/>
  </r>
  <r>
    <x v="28"/>
    <x v="16"/>
    <n v="125"/>
  </r>
  <r>
    <x v="28"/>
    <x v="10"/>
    <n v="2000"/>
  </r>
  <r>
    <x v="1"/>
    <x v="1"/>
    <m/>
  </r>
  <r>
    <x v="29"/>
    <x v="10"/>
    <n v="580"/>
  </r>
  <r>
    <x v="29"/>
    <x v="12"/>
    <n v="50"/>
  </r>
  <r>
    <x v="29"/>
    <x v="11"/>
    <n v="180"/>
  </r>
  <r>
    <x v="29"/>
    <x v="3"/>
    <n v="300"/>
  </r>
  <r>
    <x v="29"/>
    <x v="13"/>
    <n v="450"/>
  </r>
  <r>
    <x v="29"/>
    <x v="5"/>
    <n v="510"/>
  </r>
  <r>
    <x v="29"/>
    <x v="6"/>
    <n v="1225"/>
  </r>
  <r>
    <x v="1"/>
    <x v="1"/>
    <m/>
  </r>
  <r>
    <x v="30"/>
    <x v="2"/>
    <n v="572.16"/>
  </r>
  <r>
    <x v="1"/>
    <x v="1"/>
    <m/>
  </r>
  <r>
    <x v="31"/>
    <x v="12"/>
    <n v="47.93"/>
  </r>
  <r>
    <x v="31"/>
    <x v="3"/>
    <n v="480"/>
  </r>
  <r>
    <x v="31"/>
    <x v="17"/>
    <n v="1621.11"/>
  </r>
  <r>
    <x v="31"/>
    <x v="8"/>
    <n v="1410"/>
  </r>
  <r>
    <x v="1"/>
    <x v="1"/>
    <m/>
  </r>
  <r>
    <x v="32"/>
    <x v="6"/>
    <n v="1380"/>
  </r>
  <r>
    <x v="32"/>
    <x v="5"/>
    <n v="300"/>
  </r>
  <r>
    <x v="32"/>
    <x v="3"/>
    <n v="200"/>
  </r>
  <r>
    <x v="32"/>
    <x v="16"/>
    <n v="30"/>
  </r>
</pivotCacheRecords>
</file>

<file path=xl/pivotCache/pivotCacheRecords10.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
  <r>
    <x v="0"/>
    <x v="0"/>
    <n v="30000"/>
  </r>
  <r>
    <x v="1"/>
    <x v="1"/>
    <n v="437.69"/>
  </r>
  <r>
    <x v="2"/>
    <x v="2"/>
    <n v="800"/>
  </r>
  <r>
    <x v="3"/>
    <x v="3"/>
    <n v="8740.19"/>
  </r>
  <r>
    <x v="3"/>
    <x v="4"/>
    <n v="4448.8600000000006"/>
  </r>
</pivotCacheRecords>
</file>

<file path=xl/pivotCache/pivotCacheRecords1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
  <r>
    <x v="0"/>
    <x v="0"/>
    <n v="30000"/>
  </r>
</pivotCacheRecords>
</file>

<file path=xl/pivotCache/pivotCacheRecords1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
  <r>
    <x v="0"/>
    <x v="0"/>
    <n v="1000"/>
  </r>
  <r>
    <x v="1"/>
    <x v="1"/>
    <n v="400"/>
  </r>
  <r>
    <x v="2"/>
    <x v="0"/>
    <n v="5000"/>
  </r>
  <r>
    <x v="3"/>
    <x v="0"/>
    <n v="1000"/>
  </r>
</pivotCacheRecords>
</file>

<file path=xl/pivotCache/pivotCacheRecords1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6">
  <r>
    <x v="0"/>
    <x v="0"/>
    <n v="18648.560000000001"/>
  </r>
  <r>
    <x v="1"/>
    <x v="0"/>
    <n v="11988.36"/>
  </r>
  <r>
    <x v="2"/>
    <x v="0"/>
    <n v="22644.68"/>
  </r>
  <r>
    <x v="3"/>
    <x v="1"/>
    <n v="10000"/>
  </r>
  <r>
    <x v="4"/>
    <x v="2"/>
    <n v="3587.19"/>
  </r>
  <r>
    <x v="4"/>
    <x v="3"/>
    <n v="7473.38"/>
  </r>
  <r>
    <x v="4"/>
    <x v="4"/>
    <n v="600"/>
  </r>
  <r>
    <x v="4"/>
    <x v="0"/>
    <n v="400"/>
  </r>
  <r>
    <x v="4"/>
    <x v="5"/>
    <n v="17296.57"/>
  </r>
  <r>
    <x v="4"/>
    <x v="6"/>
    <n v="1500"/>
  </r>
  <r>
    <x v="4"/>
    <x v="7"/>
    <n v="840"/>
  </r>
  <r>
    <x v="4"/>
    <x v="8"/>
    <n v="5153.8100000000004"/>
  </r>
  <r>
    <x v="4"/>
    <x v="9"/>
    <n v="2891.6"/>
  </r>
  <r>
    <x v="4"/>
    <x v="10"/>
    <n v="2552.7399999999998"/>
  </r>
  <r>
    <x v="4"/>
    <x v="11"/>
    <n v="1431.36"/>
  </r>
  <r>
    <x v="5"/>
    <x v="0"/>
    <n v="500"/>
  </r>
  <r>
    <x v="6"/>
    <x v="12"/>
    <n v="25299.61"/>
  </r>
  <r>
    <x v="6"/>
    <x v="4"/>
    <n v="400"/>
  </r>
  <r>
    <x v="6"/>
    <x v="13"/>
    <n v="900"/>
  </r>
  <r>
    <x v="6"/>
    <x v="14"/>
    <n v="1600"/>
  </r>
  <r>
    <x v="6"/>
    <x v="15"/>
    <n v="115"/>
  </r>
  <r>
    <x v="6"/>
    <x v="16"/>
    <n v="5100"/>
  </r>
  <r>
    <x v="6"/>
    <x v="17"/>
    <n v="250"/>
  </r>
  <r>
    <x v="6"/>
    <x v="18"/>
    <n v="5726.31"/>
  </r>
  <r>
    <x v="7"/>
    <x v="19"/>
    <n v="169263.51"/>
  </r>
  <r>
    <x v="7"/>
    <x v="20"/>
    <n v="5820"/>
  </r>
</pivotCacheRecords>
</file>

<file path=xl/pivotCache/pivotCacheRecords14.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6">
  <r>
    <x v="0"/>
    <x v="0"/>
    <n v="266552.36"/>
  </r>
  <r>
    <x v="0"/>
    <x v="1"/>
    <n v="16154.5"/>
  </r>
  <r>
    <x v="0"/>
    <x v="2"/>
    <n v="31500"/>
  </r>
  <r>
    <x v="0"/>
    <x v="3"/>
    <n v="5150"/>
  </r>
  <r>
    <x v="1"/>
    <x v="4"/>
    <n v="220000"/>
  </r>
  <r>
    <x v="2"/>
    <x v="5"/>
    <n v="16422"/>
  </r>
</pivotCacheRecords>
</file>

<file path=xl/pivotCache/pivotCacheRecords15.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8">
  <r>
    <x v="0"/>
    <x v="0"/>
    <n v="1000"/>
  </r>
  <r>
    <x v="1"/>
    <x v="1"/>
    <n v="5000"/>
  </r>
  <r>
    <x v="1"/>
    <x v="2"/>
    <n v="5000"/>
  </r>
  <r>
    <x v="1"/>
    <x v="0"/>
    <n v="2000"/>
  </r>
  <r>
    <x v="2"/>
    <x v="2"/>
    <n v="300"/>
  </r>
  <r>
    <x v="2"/>
    <x v="1"/>
    <n v="700"/>
  </r>
  <r>
    <x v="3"/>
    <x v="2"/>
    <n v="800"/>
  </r>
  <r>
    <x v="4"/>
    <x v="3"/>
    <n v="800"/>
  </r>
  <r>
    <x v="4"/>
    <x v="2"/>
    <n v="200"/>
  </r>
  <r>
    <x v="4"/>
    <x v="0"/>
    <n v="700"/>
  </r>
  <r>
    <x v="4"/>
    <x v="4"/>
    <n v="800"/>
  </r>
  <r>
    <x v="5"/>
    <x v="5"/>
    <n v="1700"/>
  </r>
  <r>
    <x v="6"/>
    <x v="6"/>
    <n v="1000"/>
  </r>
  <r>
    <x v="7"/>
    <x v="7"/>
    <n v="1000"/>
  </r>
  <r>
    <x v="7"/>
    <x v="8"/>
    <n v="60"/>
  </r>
  <r>
    <x v="7"/>
    <x v="9"/>
    <n v="800"/>
  </r>
  <r>
    <x v="7"/>
    <x v="10"/>
    <n v="500"/>
  </r>
  <r>
    <x v="7"/>
    <x v="2"/>
    <n v="500"/>
  </r>
</pivotCacheRecords>
</file>

<file path=xl/pivotCache/pivotCacheRecords16.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
  <r>
    <x v="0"/>
    <x v="0"/>
    <n v="1500"/>
  </r>
</pivotCacheRecords>
</file>

<file path=xl/pivotCache/pivotCacheRecords17.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4">
  <r>
    <x v="0"/>
    <x v="0"/>
    <n v="400"/>
  </r>
  <r>
    <x v="1"/>
    <x v="0"/>
    <n v="600"/>
  </r>
  <r>
    <x v="2"/>
    <x v="1"/>
    <n v="1700"/>
  </r>
  <r>
    <x v="2"/>
    <x v="2"/>
    <n v="500"/>
  </r>
  <r>
    <x v="2"/>
    <x v="3"/>
    <n v="200"/>
  </r>
  <r>
    <x v="3"/>
    <x v="4"/>
    <n v="100"/>
  </r>
  <r>
    <x v="3"/>
    <x v="5"/>
    <n v="1000"/>
  </r>
  <r>
    <x v="3"/>
    <x v="1"/>
    <n v="400"/>
  </r>
  <r>
    <x v="4"/>
    <x v="6"/>
    <n v="250"/>
  </r>
  <r>
    <x v="4"/>
    <x v="1"/>
    <n v="250"/>
  </r>
  <r>
    <x v="5"/>
    <x v="7"/>
    <n v="1040"/>
  </r>
  <r>
    <x v="5"/>
    <x v="8"/>
    <n v="300"/>
  </r>
  <r>
    <x v="5"/>
    <x v="9"/>
    <n v="10500"/>
  </r>
  <r>
    <x v="5"/>
    <x v="10"/>
    <n v="4000"/>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9">
  <r>
    <x v="0"/>
    <x v="0"/>
    <n v="420"/>
  </r>
  <r>
    <x v="1"/>
    <x v="1"/>
    <m/>
  </r>
  <r>
    <x v="2"/>
    <x v="0"/>
    <n v="1376"/>
  </r>
  <r>
    <x v="1"/>
    <x v="1"/>
    <m/>
  </r>
  <r>
    <x v="3"/>
    <x v="0"/>
    <n v="1550"/>
  </r>
  <r>
    <x v="1"/>
    <x v="1"/>
    <m/>
  </r>
  <r>
    <x v="4"/>
    <x v="0"/>
    <n v="0"/>
  </r>
  <r>
    <x v="1"/>
    <x v="1"/>
    <m/>
  </r>
  <r>
    <x v="5"/>
    <x v="1"/>
    <n v="0"/>
  </r>
  <r>
    <x v="1"/>
    <x v="1"/>
    <m/>
  </r>
  <r>
    <x v="6"/>
    <x v="2"/>
    <n v="1350"/>
  </r>
  <r>
    <x v="1"/>
    <x v="1"/>
    <m/>
  </r>
  <r>
    <x v="7"/>
    <x v="2"/>
    <n v="720"/>
  </r>
  <r>
    <x v="7"/>
    <x v="3"/>
    <n v="200"/>
  </r>
  <r>
    <x v="7"/>
    <x v="4"/>
    <n v="800"/>
  </r>
  <r>
    <x v="7"/>
    <x v="5"/>
    <n v="500"/>
  </r>
  <r>
    <x v="7"/>
    <x v="6"/>
    <n v="400"/>
  </r>
  <r>
    <x v="1"/>
    <x v="1"/>
    <m/>
  </r>
  <r>
    <x v="8"/>
    <x v="1"/>
    <n v="0"/>
  </r>
  <r>
    <x v="1"/>
    <x v="1"/>
    <m/>
  </r>
  <r>
    <x v="9"/>
    <x v="1"/>
    <n v="0"/>
  </r>
  <r>
    <x v="1"/>
    <x v="1"/>
    <m/>
  </r>
  <r>
    <x v="10"/>
    <x v="2"/>
    <n v="860"/>
  </r>
  <r>
    <x v="10"/>
    <x v="7"/>
    <n v="1200"/>
  </r>
  <r>
    <x v="1"/>
    <x v="1"/>
    <m/>
  </r>
  <r>
    <x v="11"/>
    <x v="0"/>
    <n v="540"/>
  </r>
  <r>
    <x v="1"/>
    <x v="1"/>
    <m/>
  </r>
  <r>
    <x v="12"/>
    <x v="0"/>
    <n v="4603.9299999999994"/>
  </r>
  <r>
    <x v="1"/>
    <x v="1"/>
    <m/>
  </r>
  <r>
    <x v="13"/>
    <x v="2"/>
    <n v="200"/>
  </r>
  <r>
    <x v="1"/>
    <x v="1"/>
    <m/>
  </r>
  <r>
    <x v="14"/>
    <x v="3"/>
    <n v="400"/>
  </r>
  <r>
    <x v="1"/>
    <x v="1"/>
    <m/>
  </r>
  <r>
    <x v="15"/>
    <x v="3"/>
    <n v="500"/>
  </r>
  <r>
    <x v="15"/>
    <x v="4"/>
    <n v="2350"/>
  </r>
  <r>
    <x v="1"/>
    <x v="1"/>
    <m/>
  </r>
  <r>
    <x v="16"/>
    <x v="5"/>
    <n v="700"/>
  </r>
  <r>
    <x v="16"/>
    <x v="3"/>
    <n v="2786"/>
  </r>
  <r>
    <x v="16"/>
    <x v="2"/>
    <n v="120"/>
  </r>
  <r>
    <x v="16"/>
    <x v="4"/>
    <n v="650"/>
  </r>
  <r>
    <x v="1"/>
    <x v="1"/>
    <m/>
  </r>
  <r>
    <x v="17"/>
    <x v="0"/>
    <n v="1000"/>
  </r>
  <r>
    <x v="1"/>
    <x v="1"/>
    <m/>
  </r>
  <r>
    <x v="18"/>
    <x v="0"/>
    <n v="0"/>
  </r>
  <r>
    <x v="1"/>
    <x v="1"/>
    <m/>
  </r>
  <r>
    <x v="19"/>
    <x v="8"/>
    <n v="100"/>
  </r>
  <r>
    <x v="19"/>
    <x v="4"/>
    <n v="200"/>
  </r>
  <r>
    <x v="1"/>
    <x v="1"/>
    <m/>
  </r>
  <r>
    <x v="20"/>
    <x v="1"/>
    <n v="0"/>
  </r>
  <r>
    <x v="1"/>
    <x v="1"/>
    <m/>
  </r>
  <r>
    <x v="21"/>
    <x v="4"/>
    <n v="450"/>
  </r>
  <r>
    <x v="21"/>
    <x v="2"/>
    <n v="990"/>
  </r>
  <r>
    <x v="21"/>
    <x v="9"/>
    <n v="560"/>
  </r>
  <r>
    <x v="21"/>
    <x v="7"/>
    <n v="12000"/>
  </r>
  <r>
    <x v="1"/>
    <x v="1"/>
    <m/>
  </r>
  <r>
    <x v="22"/>
    <x v="1"/>
    <n v="0"/>
  </r>
  <r>
    <x v="1"/>
    <x v="1"/>
    <m/>
  </r>
  <r>
    <x v="23"/>
    <x v="1"/>
    <n v="0"/>
  </r>
  <r>
    <x v="1"/>
    <x v="1"/>
    <m/>
  </r>
  <r>
    <x v="24"/>
    <x v="0"/>
    <n v="600"/>
  </r>
  <r>
    <x v="1"/>
    <x v="1"/>
    <m/>
  </r>
  <r>
    <x v="25"/>
    <x v="0"/>
    <n v="6377"/>
  </r>
  <r>
    <x v="1"/>
    <x v="1"/>
    <m/>
  </r>
  <r>
    <x v="26"/>
    <x v="6"/>
    <n v="600"/>
  </r>
  <r>
    <x v="26"/>
    <x v="3"/>
    <n v="160"/>
  </r>
  <r>
    <x v="26"/>
    <x v="2"/>
    <n v="60"/>
  </r>
  <r>
    <x v="26"/>
    <x v="4"/>
    <n v="100"/>
  </r>
  <r>
    <x v="1"/>
    <x v="1"/>
    <m/>
  </r>
  <r>
    <x v="27"/>
    <x v="4"/>
    <n v="70"/>
  </r>
  <r>
    <x v="1"/>
    <x v="1"/>
    <m/>
  </r>
  <r>
    <x v="28"/>
    <x v="2"/>
    <n v="500"/>
  </r>
  <r>
    <x v="28"/>
    <x v="3"/>
    <n v="200"/>
  </r>
  <r>
    <x v="28"/>
    <x v="4"/>
    <n v="2000"/>
  </r>
  <r>
    <x v="28"/>
    <x v="9"/>
    <n v="100"/>
  </r>
  <r>
    <x v="28"/>
    <x v="5"/>
    <n v="400"/>
  </r>
  <r>
    <x v="1"/>
    <x v="1"/>
    <m/>
  </r>
  <r>
    <x v="29"/>
    <x v="9"/>
    <n v="600"/>
  </r>
  <r>
    <x v="29"/>
    <x v="2"/>
    <n v="500"/>
  </r>
  <r>
    <x v="29"/>
    <x v="3"/>
    <n v="450"/>
  </r>
  <r>
    <x v="29"/>
    <x v="4"/>
    <n v="850"/>
  </r>
  <r>
    <x v="1"/>
    <x v="1"/>
    <m/>
  </r>
  <r>
    <x v="30"/>
    <x v="1"/>
    <n v="0"/>
  </r>
  <r>
    <x v="1"/>
    <x v="1"/>
    <m/>
  </r>
  <r>
    <x v="31"/>
    <x v="9"/>
    <n v="1200"/>
  </r>
  <r>
    <x v="31"/>
    <x v="2"/>
    <n v="800"/>
  </r>
  <r>
    <x v="31"/>
    <x v="5"/>
    <n v="1287.72"/>
  </r>
  <r>
    <x v="1"/>
    <x v="1"/>
    <m/>
  </r>
  <r>
    <x v="32"/>
    <x v="2"/>
    <n v="320"/>
  </r>
  <r>
    <x v="32"/>
    <x v="7"/>
    <n v="730"/>
  </r>
</pivotCacheRecords>
</file>

<file path=xl/pivotCache/pivotCacheRecords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
  <r>
    <x v="0"/>
    <x v="0"/>
    <n v="59058"/>
  </r>
  <r>
    <x v="1"/>
    <x v="1"/>
    <n v="105435"/>
  </r>
  <r>
    <x v="1"/>
    <x v="2"/>
    <n v="6000"/>
  </r>
  <r>
    <x v="1"/>
    <x v="3"/>
    <n v="17155"/>
  </r>
</pivotCacheRecords>
</file>

<file path=xl/pivotCache/pivotCacheRecords4.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
  <r>
    <x v="0"/>
    <x v="0"/>
    <n v="4000"/>
  </r>
  <r>
    <x v="0"/>
    <x v="1"/>
    <n v="31000"/>
  </r>
  <r>
    <x v="1"/>
    <x v="2"/>
    <n v="7000"/>
  </r>
  <r>
    <x v="2"/>
    <x v="0"/>
    <n v="5000"/>
  </r>
  <r>
    <x v="2"/>
    <x v="3"/>
    <n v="5000"/>
  </r>
  <r>
    <x v="2"/>
    <x v="2"/>
    <n v="85000"/>
  </r>
  <r>
    <x v="2"/>
    <x v="4"/>
    <n v="2000"/>
  </r>
</pivotCacheRecords>
</file>

<file path=xl/pivotCache/pivotCacheRecords5.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
  <r>
    <x v="0"/>
    <x v="0"/>
    <n v="35000"/>
  </r>
  <r>
    <x v="1"/>
    <x v="0"/>
    <n v="8500"/>
  </r>
  <r>
    <x v="2"/>
    <x v="0"/>
    <n v="110000"/>
  </r>
</pivotCacheRecords>
</file>

<file path=xl/pivotCache/pivotCacheRecords6.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
  <r>
    <x v="0"/>
    <x v="0"/>
    <n v="600"/>
  </r>
  <r>
    <x v="0"/>
    <x v="1"/>
    <n v="500"/>
  </r>
  <r>
    <x v="0"/>
    <x v="2"/>
    <n v="250"/>
  </r>
  <r>
    <x v="1"/>
    <x v="3"/>
    <n v="800"/>
  </r>
</pivotCacheRecords>
</file>

<file path=xl/pivotCache/pivotCacheRecords7.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
  <r>
    <x v="0"/>
    <x v="0"/>
    <n v="2200"/>
  </r>
  <r>
    <x v="0"/>
    <x v="1"/>
    <n v="2800"/>
  </r>
  <r>
    <x v="0"/>
    <x v="2"/>
    <n v="5000"/>
  </r>
</pivotCacheRecords>
</file>

<file path=xl/pivotCache/pivotCacheRecords8.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
  <r>
    <x v="0"/>
    <x v="0"/>
    <n v="3000"/>
  </r>
  <r>
    <x v="0"/>
    <x v="1"/>
    <n v="5000"/>
  </r>
  <r>
    <x v="1"/>
    <x v="2"/>
    <n v="800"/>
  </r>
  <r>
    <x v="2"/>
    <x v="2"/>
    <n v="1000"/>
  </r>
  <r>
    <x v="3"/>
    <x v="2"/>
    <n v="800"/>
  </r>
  <r>
    <x v="4"/>
    <x v="0"/>
    <n v="800"/>
  </r>
  <r>
    <x v="4"/>
    <x v="1"/>
    <n v="1500"/>
  </r>
</pivotCacheRecords>
</file>

<file path=xl/pivotCache/pivotCacheRecords9.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
  <r>
    <x v="0"/>
    <x v="0"/>
    <n v="25000"/>
  </r>
  <r>
    <x v="1"/>
    <x v="1"/>
    <n v="150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2.xml"/></Relationships>
</file>

<file path=xl/pivotTables/_rels/pivotTable10.xml.rels><?xml version="1.0" encoding="UTF-8" standalone="yes"?>
<Relationships xmlns="http://schemas.openxmlformats.org/package/2006/relationships"><Relationship Id="rId1" Type="http://schemas.openxmlformats.org/officeDocument/2006/relationships/pivotCacheDefinition" Target="../pivotCache/pivotCacheDefinition15.xml"/></Relationships>
</file>

<file path=xl/pivotTables/_rels/pivotTable11.xml.rels><?xml version="1.0" encoding="UTF-8" standalone="yes"?>
<Relationships xmlns="http://schemas.openxmlformats.org/package/2006/relationships"><Relationship Id="rId1" Type="http://schemas.openxmlformats.org/officeDocument/2006/relationships/pivotCacheDefinition" Target="../pivotCache/pivotCacheDefinition14.xml"/></Relationships>
</file>

<file path=xl/pivotTables/_rels/pivotTable12.xml.rels><?xml version="1.0" encoding="UTF-8" standalone="yes"?>
<Relationships xmlns="http://schemas.openxmlformats.org/package/2006/relationships"><Relationship Id="rId1" Type="http://schemas.openxmlformats.org/officeDocument/2006/relationships/pivotCacheDefinition" Target="../pivotCache/pivotCacheDefinition16.xml"/></Relationships>
</file>

<file path=xl/pivotTables/_rels/pivotTable1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4.xml.rels><?xml version="1.0" encoding="UTF-8" standalone="yes"?>
<Relationships xmlns="http://schemas.openxmlformats.org/package/2006/relationships"><Relationship Id="rId1" Type="http://schemas.openxmlformats.org/officeDocument/2006/relationships/pivotCacheDefinition" Target="../pivotCache/pivotCacheDefinition16.xml"/></Relationships>
</file>

<file path=xl/pivotTables/_rels/pivotTable15.xml.rels><?xml version="1.0" encoding="UTF-8" standalone="yes"?>
<Relationships xmlns="http://schemas.openxmlformats.org/package/2006/relationships"><Relationship Id="rId1" Type="http://schemas.openxmlformats.org/officeDocument/2006/relationships/pivotCacheDefinition" Target="../pivotCache/pivotCacheDefinition8.xml"/></Relationships>
</file>

<file path=xl/pivotTables/_rels/pivotTable16.xml.rels><?xml version="1.0" encoding="UTF-8" standalone="yes"?>
<Relationships xmlns="http://schemas.openxmlformats.org/package/2006/relationships"><Relationship Id="rId1" Type="http://schemas.openxmlformats.org/officeDocument/2006/relationships/pivotCacheDefinition" Target="../pivotCache/pivotCacheDefinition6.xml"/></Relationships>
</file>

<file path=xl/pivotTables/_rels/pivotTable17.xml.rels><?xml version="1.0" encoding="UTF-8" standalone="yes"?>
<Relationships xmlns="http://schemas.openxmlformats.org/package/2006/relationships"><Relationship Id="rId1" Type="http://schemas.openxmlformats.org/officeDocument/2006/relationships/pivotCacheDefinition" Target="../pivotCache/pivotCacheDefinition13.xml"/></Relationships>
</file>

<file path=xl/pivotTables/_rels/pivotTable18.xml.rels><?xml version="1.0" encoding="UTF-8" standalone="yes"?>
<Relationships xmlns="http://schemas.openxmlformats.org/package/2006/relationships"><Relationship Id="rId1" Type="http://schemas.openxmlformats.org/officeDocument/2006/relationships/pivotCacheDefinition" Target="../pivotCache/pivotCacheDefinition10.xml"/></Relationships>
</file>

<file path=xl/pivotTables/_rels/pivotTable19.xml.rels><?xml version="1.0" encoding="UTF-8" standalone="yes"?>
<Relationships xmlns="http://schemas.openxmlformats.org/package/2006/relationships"><Relationship Id="rId1" Type="http://schemas.openxmlformats.org/officeDocument/2006/relationships/pivotCacheDefinition" Target="../pivotCache/pivotCacheDefinition7.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20.xml.rels><?xml version="1.0" encoding="UTF-8" standalone="yes"?>
<Relationships xmlns="http://schemas.openxmlformats.org/package/2006/relationships"><Relationship Id="rId1" Type="http://schemas.openxmlformats.org/officeDocument/2006/relationships/pivotCacheDefinition" Target="../pivotCache/pivotCacheDefinition11.xml"/></Relationships>
</file>

<file path=xl/pivotTables/_rels/pivotTable21.xml.rels><?xml version="1.0" encoding="UTF-8" standalone="yes"?>
<Relationships xmlns="http://schemas.openxmlformats.org/package/2006/relationships"><Relationship Id="rId1" Type="http://schemas.openxmlformats.org/officeDocument/2006/relationships/pivotCacheDefinition" Target="../pivotCache/pivotCacheDefinition15.xml"/></Relationships>
</file>

<file path=xl/pivotTables/_rels/pivotTable22.xml.rels><?xml version="1.0" encoding="UTF-8" standalone="yes"?>
<Relationships xmlns="http://schemas.openxmlformats.org/package/2006/relationships"><Relationship Id="rId1" Type="http://schemas.openxmlformats.org/officeDocument/2006/relationships/pivotCacheDefinition" Target="../pivotCache/pivotCacheDefinition6.xml"/></Relationships>
</file>

<file path=xl/pivotTables/_rels/pivotTable23.xml.rels><?xml version="1.0" encoding="UTF-8" standalone="yes"?>
<Relationships xmlns="http://schemas.openxmlformats.org/package/2006/relationships"><Relationship Id="rId1" Type="http://schemas.openxmlformats.org/officeDocument/2006/relationships/pivotCacheDefinition" Target="../pivotCache/pivotCacheDefinition17.xml"/></Relationships>
</file>

<file path=xl/pivotTables/_rels/pivotTable24.xml.rels><?xml version="1.0" encoding="UTF-8" standalone="yes"?>
<Relationships xmlns="http://schemas.openxmlformats.org/package/2006/relationships"><Relationship Id="rId1" Type="http://schemas.openxmlformats.org/officeDocument/2006/relationships/pivotCacheDefinition" Target="../pivotCache/pivotCacheDefinition5.xml"/></Relationships>
</file>

<file path=xl/pivotTables/_rels/pivotTable25.xml.rels><?xml version="1.0" encoding="UTF-8" standalone="yes"?>
<Relationships xmlns="http://schemas.openxmlformats.org/package/2006/relationships"><Relationship Id="rId1" Type="http://schemas.openxmlformats.org/officeDocument/2006/relationships/pivotCacheDefinition" Target="../pivotCache/pivotCacheDefinition9.xml"/></Relationships>
</file>

<file path=xl/pivotTables/_rels/pivotTable2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7.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8.xml.rels><?xml version="1.0" encoding="UTF-8" standalone="yes"?>
<Relationships xmlns="http://schemas.openxmlformats.org/package/2006/relationships"><Relationship Id="rId1" Type="http://schemas.openxmlformats.org/officeDocument/2006/relationships/pivotCacheDefinition" Target="../pivotCache/pivotCacheDefinition14.xml"/></Relationships>
</file>

<file path=xl/pivotTables/_rels/pivotTable29.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3.xml"/></Relationships>
</file>

<file path=xl/pivotTables/_rels/pivotTable30.xml.rels><?xml version="1.0" encoding="UTF-8" standalone="yes"?>
<Relationships xmlns="http://schemas.openxmlformats.org/package/2006/relationships"><Relationship Id="rId1" Type="http://schemas.openxmlformats.org/officeDocument/2006/relationships/pivotCacheDefinition" Target="../pivotCache/pivotCacheDefinition11.xml"/></Relationships>
</file>

<file path=xl/pivotTables/_rels/pivotTable31.xml.rels><?xml version="1.0" encoding="UTF-8" standalone="yes"?>
<Relationships xmlns="http://schemas.openxmlformats.org/package/2006/relationships"><Relationship Id="rId1" Type="http://schemas.openxmlformats.org/officeDocument/2006/relationships/pivotCacheDefinition" Target="../pivotCache/pivotCacheDefinition10.xml"/></Relationships>
</file>

<file path=xl/pivotTables/_rels/pivotTable3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3.xml.rels><?xml version="1.0" encoding="UTF-8" standalone="yes"?>
<Relationships xmlns="http://schemas.openxmlformats.org/package/2006/relationships"><Relationship Id="rId1" Type="http://schemas.openxmlformats.org/officeDocument/2006/relationships/pivotCacheDefinition" Target="../pivotCache/pivotCacheDefinition9.xml"/></Relationships>
</file>

<file path=xl/pivotTables/_rels/pivotTable34.xml.rels><?xml version="1.0" encoding="UTF-8" standalone="yes"?>
<Relationships xmlns="http://schemas.openxmlformats.org/package/2006/relationships"><Relationship Id="rId1" Type="http://schemas.openxmlformats.org/officeDocument/2006/relationships/pivotCacheDefinition" Target="../pivotCache/pivotCacheDefinition7.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7.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8.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5.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1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3B433570-827F-496B-A81F-5EB93FAA62C5}" name="PivotTable34" cacheId="20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General Ledger Accounts">
  <location ref="E120:F123" firstHeaderRow="1" firstDataRow="1" firstDataCol="1"/>
  <pivotFields count="3">
    <pivotField showAll="0"/>
    <pivotField axis="axisRow" showAll="0">
      <items count="5">
        <item m="1" x="3"/>
        <item m="1" x="2"/>
        <item x="0"/>
        <item x="1"/>
        <item t="default"/>
      </items>
    </pivotField>
    <pivotField dataField="1" numFmtId="44" showAll="0"/>
  </pivotFields>
  <rowFields count="1">
    <field x="1"/>
  </rowFields>
  <rowItems count="3">
    <i>
      <x v="2"/>
    </i>
    <i>
      <x v="3"/>
    </i>
    <i t="grand">
      <x/>
    </i>
  </rowItems>
  <colItems count="1">
    <i/>
  </colItems>
  <dataFields count="1">
    <dataField name="Sum of Projected" fld="2" baseField="0" baseItem="0" numFmtId="44"/>
  </dataFields>
  <formats count="2">
    <format dxfId="267">
      <pivotArea outline="0" collapsedLevelsAreSubtotals="1" fieldPosition="0"/>
    </format>
    <format dxfId="266">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0.xml><?xml version="1.0" encoding="utf-8"?>
<pivotTableDefinition xmlns="http://schemas.openxmlformats.org/spreadsheetml/2006/main" xmlns:mc="http://schemas.openxmlformats.org/markup-compatibility/2006" xmlns:xr="http://schemas.microsoft.com/office/spreadsheetml/2014/revision" mc:Ignorable="xr" xr:uid="{65BD1530-06E4-420F-8F46-6E4242CEC0FF}" name="PivotTable17" cacheId="212"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Class">
  <location ref="B67:C76" firstHeaderRow="1" firstDataRow="1" firstDataCol="1"/>
  <pivotFields count="3">
    <pivotField axis="axisRow" showAll="0">
      <items count="9">
        <item x="1"/>
        <item x="2"/>
        <item x="0"/>
        <item x="3"/>
        <item x="4"/>
        <item x="7"/>
        <item x="6"/>
        <item x="5"/>
        <item t="default"/>
      </items>
    </pivotField>
    <pivotField showAll="0"/>
    <pivotField dataField="1" numFmtId="165" showAll="0"/>
  </pivotFields>
  <rowFields count="1">
    <field x="0"/>
  </rowFields>
  <rowItems count="9">
    <i>
      <x/>
    </i>
    <i>
      <x v="1"/>
    </i>
    <i>
      <x v="2"/>
    </i>
    <i>
      <x v="3"/>
    </i>
    <i>
      <x v="4"/>
    </i>
    <i>
      <x v="5"/>
    </i>
    <i>
      <x v="6"/>
    </i>
    <i>
      <x v="7"/>
    </i>
    <i t="grand">
      <x/>
    </i>
  </rowItems>
  <colItems count="1">
    <i/>
  </colItems>
  <dataFields count="1">
    <dataField name="Sum of Projected" fld="2" baseField="0" baseItem="0" numFmtId="44"/>
  </dataFields>
  <formats count="2">
    <format dxfId="284">
      <pivotArea outline="0" collapsedLevelsAreSubtotals="1" fieldPosition="0"/>
    </format>
    <format dxfId="283">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1.xml><?xml version="1.0" encoding="utf-8"?>
<pivotTableDefinition xmlns="http://schemas.openxmlformats.org/spreadsheetml/2006/main" xmlns:mc="http://schemas.openxmlformats.org/markup-compatibility/2006" xmlns:xr="http://schemas.microsoft.com/office/spreadsheetml/2014/revision" mc:Ignorable="xr" xr:uid="{9A4320DF-B503-42FB-B848-64AE9C588865}" name="PivotTable18" cacheId="208"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Class">
  <location ref="B82:C86" firstHeaderRow="1" firstDataRow="1" firstDataCol="1"/>
  <pivotFields count="3">
    <pivotField axis="axisRow" showAll="0">
      <items count="4">
        <item x="1"/>
        <item x="2"/>
        <item x="0"/>
        <item t="default"/>
      </items>
    </pivotField>
    <pivotField showAll="0"/>
    <pivotField dataField="1" numFmtId="165" showAll="0"/>
  </pivotFields>
  <rowFields count="1">
    <field x="0"/>
  </rowFields>
  <rowItems count="4">
    <i>
      <x/>
    </i>
    <i>
      <x v="1"/>
    </i>
    <i>
      <x v="2"/>
    </i>
    <i t="grand">
      <x/>
    </i>
  </rowItems>
  <colItems count="1">
    <i/>
  </colItems>
  <dataFields count="1">
    <dataField name="Sum of Projected" fld="2" baseField="0" baseItem="0" numFmtId="44"/>
  </dataFields>
  <formats count="2">
    <format dxfId="286">
      <pivotArea outline="0" collapsedLevelsAreSubtotals="1" fieldPosition="0"/>
    </format>
    <format dxfId="285">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2.xml><?xml version="1.0" encoding="utf-8"?>
<pivotTableDefinition xmlns="http://schemas.openxmlformats.org/spreadsheetml/2006/main" xmlns:mc="http://schemas.openxmlformats.org/markup-compatibility/2006" xmlns:xr="http://schemas.microsoft.com/office/spreadsheetml/2014/revision" mc:Ignorable="xr" xr:uid="{E3587FEC-08A4-46F6-BF9C-2C8774B13073}" name="PivotTable16" cacheId="216"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Class">
  <location ref="B63:C65" firstHeaderRow="1" firstDataRow="1" firstDataCol="1"/>
  <pivotFields count="3">
    <pivotField axis="axisRow" showAll="0">
      <items count="2">
        <item x="0"/>
        <item t="default"/>
      </items>
    </pivotField>
    <pivotField showAll="0"/>
    <pivotField dataField="1" numFmtId="165" showAll="0"/>
  </pivotFields>
  <rowFields count="1">
    <field x="0"/>
  </rowFields>
  <rowItems count="2">
    <i>
      <x/>
    </i>
    <i t="grand">
      <x/>
    </i>
  </rowItems>
  <colItems count="1">
    <i/>
  </colItems>
  <dataFields count="1">
    <dataField name="Sum of Projected" fld="2" baseField="0" baseItem="0" numFmtId="44"/>
  </dataFields>
  <formats count="2">
    <format dxfId="288">
      <pivotArea outline="0" collapsedLevelsAreSubtotals="1" fieldPosition="0"/>
    </format>
    <format dxfId="287">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3.xml><?xml version="1.0" encoding="utf-8"?>
<pivotTableDefinition xmlns="http://schemas.openxmlformats.org/spreadsheetml/2006/main" xmlns:mc="http://schemas.openxmlformats.org/markup-compatibility/2006" xmlns:xr="http://schemas.microsoft.com/office/spreadsheetml/2014/revision" mc:Ignorable="xr" xr:uid="{2EA3AE93-6C85-4E3A-B7DF-FF8566C2FCCC}" name="PivotTable52" cacheId="16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General Ledger Accounts">
  <location ref="E201:F211" firstHeaderRow="1" firstDataRow="1" firstDataCol="1"/>
  <pivotFields count="3">
    <pivotField showAll="0"/>
    <pivotField axis="axisRow" showAll="0">
      <items count="17">
        <item x="4"/>
        <item m="1" x="10"/>
        <item m="1" x="14"/>
        <item m="1" x="12"/>
        <item x="2"/>
        <item m="1" x="13"/>
        <item x="9"/>
        <item m="1" x="11"/>
        <item x="3"/>
        <item m="1" x="15"/>
        <item x="7"/>
        <item x="6"/>
        <item x="5"/>
        <item x="0"/>
        <item h="1" x="1"/>
        <item x="8"/>
        <item t="default"/>
      </items>
    </pivotField>
    <pivotField dataField="1" showAll="0"/>
  </pivotFields>
  <rowFields count="1">
    <field x="1"/>
  </rowFields>
  <rowItems count="10">
    <i>
      <x/>
    </i>
    <i>
      <x v="4"/>
    </i>
    <i>
      <x v="6"/>
    </i>
    <i>
      <x v="8"/>
    </i>
    <i>
      <x v="10"/>
    </i>
    <i>
      <x v="11"/>
    </i>
    <i>
      <x v="12"/>
    </i>
    <i>
      <x v="13"/>
    </i>
    <i>
      <x v="15"/>
    </i>
    <i t="grand">
      <x/>
    </i>
  </rowItems>
  <colItems count="1">
    <i/>
  </colItems>
  <dataFields count="1">
    <dataField name="Sum of Projected" fld="2" baseField="0" baseItem="0" numFmtId="44"/>
  </dataFields>
  <formats count="2">
    <format dxfId="290">
      <pivotArea grandRow="1" outline="0" collapsedLevelsAreSubtotals="1" fieldPosition="0"/>
    </format>
    <format dxfId="289">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4.xml><?xml version="1.0" encoding="utf-8"?>
<pivotTableDefinition xmlns="http://schemas.openxmlformats.org/spreadsheetml/2006/main" xmlns:mc="http://schemas.openxmlformats.org/markup-compatibility/2006" xmlns:xr="http://schemas.microsoft.com/office/spreadsheetml/2014/revision" mc:Ignorable="xr" xr:uid="{562774C4-65E2-44A4-8D50-DFC9197914DA}" name="PivotTable30" cacheId="216"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General Ledger Accounts">
  <location ref="E63:F65" firstHeaderRow="1" firstDataRow="1" firstDataCol="1"/>
  <pivotFields count="3">
    <pivotField showAll="0"/>
    <pivotField axis="axisRow" showAll="0">
      <items count="2">
        <item n="3900 - AUS Revenues: Registration Fees" x="0"/>
        <item t="default"/>
      </items>
    </pivotField>
    <pivotField dataField="1" numFmtId="165" showAll="0"/>
  </pivotFields>
  <rowFields count="1">
    <field x="1"/>
  </rowFields>
  <rowItems count="2">
    <i>
      <x/>
    </i>
    <i t="grand">
      <x/>
    </i>
  </rowItems>
  <colItems count="1">
    <i/>
  </colItems>
  <dataFields count="1">
    <dataField name="Sum of Projected" fld="2" baseField="0" baseItem="0" numFmtId="44"/>
  </dataFields>
  <formats count="1">
    <format dxfId="291">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5.xml><?xml version="1.0" encoding="utf-8"?>
<pivotTableDefinition xmlns="http://schemas.openxmlformats.org/spreadsheetml/2006/main" xmlns:mc="http://schemas.openxmlformats.org/markup-compatibility/2006" xmlns:xr="http://schemas.microsoft.com/office/spreadsheetml/2014/revision" mc:Ignorable="xr" xr:uid="{940780FB-88F4-450B-9FF1-EEF3CB687AB9}" name="PivotTable26" cacheId="184"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Class">
  <location ref="B148:C154" firstHeaderRow="1" firstDataRow="1" firstDataCol="1"/>
  <pivotFields count="3">
    <pivotField axis="axisRow" showAll="0">
      <items count="6">
        <item x="1"/>
        <item x="3"/>
        <item x="0"/>
        <item x="2"/>
        <item x="4"/>
        <item t="default"/>
      </items>
    </pivotField>
    <pivotField showAll="0"/>
    <pivotField dataField="1" numFmtId="165" showAll="0"/>
  </pivotFields>
  <rowFields count="1">
    <field x="0"/>
  </rowFields>
  <rowItems count="6">
    <i>
      <x/>
    </i>
    <i>
      <x v="1"/>
    </i>
    <i>
      <x v="2"/>
    </i>
    <i>
      <x v="3"/>
    </i>
    <i>
      <x v="4"/>
    </i>
    <i t="grand">
      <x/>
    </i>
  </rowItems>
  <colItems count="1">
    <i/>
  </colItems>
  <dataFields count="1">
    <dataField name="Sum of Projected" fld="2" baseField="0" baseItem="0" numFmtId="44"/>
  </dataFields>
  <formats count="2">
    <format dxfId="293">
      <pivotArea outline="0" collapsedLevelsAreSubtotals="1" fieldPosition="0"/>
    </format>
    <format dxfId="292">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6.xml><?xml version="1.0" encoding="utf-8"?>
<pivotTableDefinition xmlns="http://schemas.openxmlformats.org/spreadsheetml/2006/main" xmlns:mc="http://schemas.openxmlformats.org/markup-compatibility/2006" xmlns:xr="http://schemas.microsoft.com/office/spreadsheetml/2014/revision" mc:Ignorable="xr" xr:uid="{0096E74A-10C9-496B-942C-CD3C6DEF2E2C}" name="PivotTable40" cacheId="176"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General Ledger Accounts">
  <location ref="E164:F169" firstHeaderRow="1" firstDataRow="1" firstDataCol="1"/>
  <pivotFields count="3">
    <pivotField showAll="0"/>
    <pivotField axis="axisRow" showAll="0">
      <items count="6">
        <item x="2"/>
        <item x="3"/>
        <item m="1" x="4"/>
        <item x="1"/>
        <item x="0"/>
        <item t="default"/>
      </items>
    </pivotField>
    <pivotField dataField="1" showAll="0"/>
  </pivotFields>
  <rowFields count="1">
    <field x="1"/>
  </rowFields>
  <rowItems count="5">
    <i>
      <x/>
    </i>
    <i>
      <x v="1"/>
    </i>
    <i>
      <x v="3"/>
    </i>
    <i>
      <x v="4"/>
    </i>
    <i t="grand">
      <x/>
    </i>
  </rowItems>
  <colItems count="1">
    <i/>
  </colItems>
  <dataFields count="1">
    <dataField name="Sum of Projected" fld="2" baseField="0" baseItem="0" numFmtId="44"/>
  </dataFields>
  <formats count="2">
    <format dxfId="295">
      <pivotArea outline="0" collapsedLevelsAreSubtotals="1" fieldPosition="0"/>
    </format>
    <format dxfId="294">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7.xml><?xml version="1.0" encoding="utf-8"?>
<pivotTableDefinition xmlns="http://schemas.openxmlformats.org/spreadsheetml/2006/main" xmlns:mc="http://schemas.openxmlformats.org/markup-compatibility/2006" xmlns:xr="http://schemas.microsoft.com/office/spreadsheetml/2014/revision" mc:Ignorable="xr" xr:uid="{87C5CF2F-161C-40BA-9296-901491970D37}" name="PivotTable33" cacheId="204"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General Ledger Accounts">
  <location ref="E91:F113" firstHeaderRow="1" firstDataRow="1" firstDataCol="1"/>
  <pivotFields count="3">
    <pivotField showAll="0"/>
    <pivotField axis="axisRow" showAll="0">
      <items count="25">
        <item x="6"/>
        <item m="1" x="21"/>
        <item x="17"/>
        <item x="19"/>
        <item x="14"/>
        <item x="7"/>
        <item x="13"/>
        <item x="15"/>
        <item x="12"/>
        <item x="8"/>
        <item x="18"/>
        <item x="9"/>
        <item m="1" x="22"/>
        <item x="16"/>
        <item x="3"/>
        <item x="1"/>
        <item x="11"/>
        <item x="2"/>
        <item x="10"/>
        <item m="1" x="23"/>
        <item x="0"/>
        <item x="20"/>
        <item x="4"/>
        <item x="5"/>
        <item t="default"/>
      </items>
    </pivotField>
    <pivotField dataField="1" showAll="0"/>
  </pivotFields>
  <rowFields count="1">
    <field x="1"/>
  </rowFields>
  <rowItems count="22">
    <i>
      <x/>
    </i>
    <i>
      <x v="2"/>
    </i>
    <i>
      <x v="3"/>
    </i>
    <i>
      <x v="4"/>
    </i>
    <i>
      <x v="5"/>
    </i>
    <i>
      <x v="6"/>
    </i>
    <i>
      <x v="7"/>
    </i>
    <i>
      <x v="8"/>
    </i>
    <i>
      <x v="9"/>
    </i>
    <i>
      <x v="10"/>
    </i>
    <i>
      <x v="11"/>
    </i>
    <i>
      <x v="13"/>
    </i>
    <i>
      <x v="14"/>
    </i>
    <i>
      <x v="15"/>
    </i>
    <i>
      <x v="16"/>
    </i>
    <i>
      <x v="17"/>
    </i>
    <i>
      <x v="18"/>
    </i>
    <i>
      <x v="20"/>
    </i>
    <i>
      <x v="21"/>
    </i>
    <i>
      <x v="22"/>
    </i>
    <i>
      <x v="23"/>
    </i>
    <i t="grand">
      <x/>
    </i>
  </rowItems>
  <colItems count="1">
    <i/>
  </colItems>
  <dataFields count="1">
    <dataField name="Sum of Projected" fld="2" baseField="0" baseItem="0" numFmtId="44"/>
  </dataFields>
  <formats count="2">
    <format dxfId="297">
      <pivotArea outline="0" collapsedLevelsAreSubtotals="1" fieldPosition="0"/>
    </format>
    <format dxfId="296">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8.xml><?xml version="1.0" encoding="utf-8"?>
<pivotTableDefinition xmlns="http://schemas.openxmlformats.org/spreadsheetml/2006/main" xmlns:mc="http://schemas.openxmlformats.org/markup-compatibility/2006" xmlns:xr="http://schemas.microsoft.com/office/spreadsheetml/2014/revision" mc:Ignorable="xr" xr:uid="{D6312D9E-003C-4E6C-974E-332CF8D02BE1}" name="PivotTable36" cacheId="192"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General Ledger Accounts">
  <location ref="E133:F139" firstHeaderRow="1" firstDataRow="1" firstDataCol="1"/>
  <pivotFields count="3">
    <pivotField showAll="0"/>
    <pivotField axis="axisRow" showAll="0">
      <items count="7">
        <item x="4"/>
        <item m="1" x="5"/>
        <item x="1"/>
        <item x="0"/>
        <item x="2"/>
        <item x="3"/>
        <item t="default"/>
      </items>
    </pivotField>
    <pivotField dataField="1" numFmtId="165" showAll="0"/>
  </pivotFields>
  <rowFields count="1">
    <field x="1"/>
  </rowFields>
  <rowItems count="6">
    <i>
      <x/>
    </i>
    <i>
      <x v="2"/>
    </i>
    <i>
      <x v="3"/>
    </i>
    <i>
      <x v="4"/>
    </i>
    <i>
      <x v="5"/>
    </i>
    <i t="grand">
      <x/>
    </i>
  </rowItems>
  <colItems count="1">
    <i/>
  </colItems>
  <dataFields count="1">
    <dataField name="Sum of Projected" fld="2" baseField="0" baseItem="0" numFmtId="44"/>
  </dataFields>
  <formats count="2">
    <format dxfId="299">
      <pivotArea outline="0" collapsedLevelsAreSubtotals="1" fieldPosition="0"/>
    </format>
    <format dxfId="298">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9.xml><?xml version="1.0" encoding="utf-8"?>
<pivotTableDefinition xmlns="http://schemas.openxmlformats.org/spreadsheetml/2006/main" xmlns:mc="http://schemas.openxmlformats.org/markup-compatibility/2006" xmlns:xr="http://schemas.microsoft.com/office/spreadsheetml/2014/revision" mc:Ignorable="xr" xr:uid="{21D34F1E-82EA-4727-8C04-CFF92E113648}" name="PivotTable39" cacheId="18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General Ledger Accounts">
  <location ref="E158:F162" firstHeaderRow="1" firstDataRow="1" firstDataCol="1"/>
  <pivotFields count="3">
    <pivotField showAll="0"/>
    <pivotField axis="axisRow" showAll="0">
      <items count="4">
        <item x="0"/>
        <item x="2"/>
        <item x="1"/>
        <item t="default"/>
      </items>
    </pivotField>
    <pivotField dataField="1" numFmtId="165" showAll="0"/>
  </pivotFields>
  <rowFields count="1">
    <field x="1"/>
  </rowFields>
  <rowItems count="4">
    <i>
      <x/>
    </i>
    <i>
      <x v="1"/>
    </i>
    <i>
      <x v="2"/>
    </i>
    <i t="grand">
      <x/>
    </i>
  </rowItems>
  <colItems count="1">
    <i/>
  </colItems>
  <dataFields count="1">
    <dataField name="Sum of Projected" fld="2" baseField="0" baseItem="0" numFmtId="44"/>
  </dataFields>
  <formats count="2">
    <format dxfId="301">
      <pivotArea outline="0" collapsedLevelsAreSubtotals="1" fieldPosition="0"/>
    </format>
    <format dxfId="300">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145971D3-B671-40A7-88FF-B3F8B66C9F66}" name="PivotTable44" cacheId="168"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General Ledger Accounts">
  <location ref="E179:F185" firstHeaderRow="1" firstDataRow="1" firstDataCol="1"/>
  <pivotFields count="3">
    <pivotField showAll="0"/>
    <pivotField axis="axisRow" showAll="0">
      <items count="6">
        <item x="2"/>
        <item x="1"/>
        <item x="3"/>
        <item x="0"/>
        <item x="4"/>
        <item t="default"/>
      </items>
    </pivotField>
    <pivotField dataField="1" showAll="0"/>
  </pivotFields>
  <rowFields count="1">
    <field x="1"/>
  </rowFields>
  <rowItems count="6">
    <i>
      <x/>
    </i>
    <i>
      <x v="1"/>
    </i>
    <i>
      <x v="2"/>
    </i>
    <i>
      <x v="3"/>
    </i>
    <i>
      <x v="4"/>
    </i>
    <i t="grand">
      <x/>
    </i>
  </rowItems>
  <colItems count="1">
    <i/>
  </colItems>
  <dataFields count="1">
    <dataField name="Sum of Projected" fld="2" baseField="0" baseItem="0"/>
  </dataFields>
  <formats count="2">
    <format dxfId="269">
      <pivotArea grandRow="1" outline="0" collapsedLevelsAreSubtotals="1" fieldPosition="0"/>
    </format>
    <format dxfId="268">
      <pivotArea collapsedLevelsAreSubtotals="1" fieldPosition="0">
        <references count="1">
          <reference field="1"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0.xml><?xml version="1.0" encoding="utf-8"?>
<pivotTableDefinition xmlns="http://schemas.openxmlformats.org/spreadsheetml/2006/main" xmlns:mc="http://schemas.openxmlformats.org/markup-compatibility/2006" xmlns:xr="http://schemas.microsoft.com/office/spreadsheetml/2014/revision" mc:Ignorable="xr" xr:uid="{1C19908B-E198-4F9B-BABD-5DBC56CCA2E1}" name="PivotTable35" cacheId="196"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General Ledger Accounts">
  <location ref="E129:F131" firstHeaderRow="1" firstDataRow="1" firstDataCol="1"/>
  <pivotFields count="3">
    <pivotField showAll="0"/>
    <pivotField axis="axisRow" showAll="0">
      <items count="2">
        <item x="0"/>
        <item t="default"/>
      </items>
    </pivotField>
    <pivotField dataField="1" numFmtId="165" showAll="0"/>
  </pivotFields>
  <rowFields count="1">
    <field x="1"/>
  </rowFields>
  <rowItems count="2">
    <i>
      <x/>
    </i>
    <i t="grand">
      <x/>
    </i>
  </rowItems>
  <colItems count="1">
    <i/>
  </colItems>
  <dataFields count="1">
    <dataField name="Sum of Projected" fld="2" baseField="0" baseItem="0" numFmtId="44"/>
  </dataFields>
  <formats count="2">
    <format dxfId="303">
      <pivotArea outline="0" collapsedLevelsAreSubtotals="1" fieldPosition="0"/>
    </format>
    <format dxfId="302">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1.xml><?xml version="1.0" encoding="utf-8"?>
<pivotTableDefinition xmlns="http://schemas.openxmlformats.org/spreadsheetml/2006/main" xmlns:mc="http://schemas.openxmlformats.org/markup-compatibility/2006" xmlns:xr="http://schemas.microsoft.com/office/spreadsheetml/2014/revision" mc:Ignorable="xr" xr:uid="{25280BCD-DCFC-4EAB-B2DD-45F0D9A11B18}" name="PivotTable31" cacheId="212"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General Ledger Accounts">
  <location ref="E67:F79" firstHeaderRow="1" firstDataRow="1" firstDataCol="1"/>
  <pivotFields count="3">
    <pivotField showAll="0"/>
    <pivotField axis="axisRow" showAll="0">
      <items count="13">
        <item x="8"/>
        <item m="1" x="11"/>
        <item x="5"/>
        <item x="0"/>
        <item x="3"/>
        <item x="1"/>
        <item x="9"/>
        <item x="7"/>
        <item x="10"/>
        <item x="4"/>
        <item x="2"/>
        <item x="6"/>
        <item t="default"/>
      </items>
    </pivotField>
    <pivotField dataField="1" numFmtId="165" showAll="0"/>
  </pivotFields>
  <rowFields count="1">
    <field x="1"/>
  </rowFields>
  <rowItems count="12">
    <i>
      <x/>
    </i>
    <i>
      <x v="2"/>
    </i>
    <i>
      <x v="3"/>
    </i>
    <i>
      <x v="4"/>
    </i>
    <i>
      <x v="5"/>
    </i>
    <i>
      <x v="6"/>
    </i>
    <i>
      <x v="7"/>
    </i>
    <i>
      <x v="8"/>
    </i>
    <i>
      <x v="9"/>
    </i>
    <i>
      <x v="10"/>
    </i>
    <i>
      <x v="11"/>
    </i>
    <i t="grand">
      <x/>
    </i>
  </rowItems>
  <colItems count="1">
    <i/>
  </colItems>
  <dataFields count="1">
    <dataField name="Sum of Projected" fld="2" baseField="0" baseItem="0" numFmtId="44"/>
  </dataFields>
  <formats count="1">
    <format dxfId="304">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2.xml><?xml version="1.0" encoding="utf-8"?>
<pivotTableDefinition xmlns="http://schemas.openxmlformats.org/spreadsheetml/2006/main" xmlns:mc="http://schemas.openxmlformats.org/markup-compatibility/2006" xmlns:xr="http://schemas.microsoft.com/office/spreadsheetml/2014/revision" mc:Ignorable="xr" xr:uid="{927D8677-1C6E-472F-8B15-5F898E6380E3}" name="PivotTable28" cacheId="176"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Class">
  <location ref="B164:C167" firstHeaderRow="1" firstDataRow="1" firstDataCol="1"/>
  <pivotFields count="3">
    <pivotField axis="axisRow" showAll="0">
      <items count="3">
        <item x="0"/>
        <item x="1"/>
        <item t="default"/>
      </items>
    </pivotField>
    <pivotField showAll="0"/>
    <pivotField dataField="1" showAll="0"/>
  </pivotFields>
  <rowFields count="1">
    <field x="0"/>
  </rowFields>
  <rowItems count="3">
    <i>
      <x/>
    </i>
    <i>
      <x v="1"/>
    </i>
    <i t="grand">
      <x/>
    </i>
  </rowItems>
  <colItems count="1">
    <i/>
  </colItems>
  <dataFields count="1">
    <dataField name="Sum of Projected" fld="2" baseField="0" baseItem="0" numFmtId="44"/>
  </dataFields>
  <formats count="2">
    <format dxfId="306">
      <pivotArea outline="0" collapsedLevelsAreSubtotals="1" fieldPosition="0"/>
    </format>
    <format dxfId="305">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3.xml><?xml version="1.0" encoding="utf-8"?>
<pivotTableDefinition xmlns="http://schemas.openxmlformats.org/spreadsheetml/2006/main" xmlns:mc="http://schemas.openxmlformats.org/markup-compatibility/2006" xmlns:xr="http://schemas.microsoft.com/office/spreadsheetml/2014/revision" mc:Ignorable="xr" xr:uid="{EF674F00-529E-4E4F-A300-3AEF15BD9FCB}" name="PivotTable29" cacheId="22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General Ledger Accounts">
  <location ref="E47:F59" firstHeaderRow="1" firstDataRow="1" firstDataCol="1"/>
  <pivotFields count="3">
    <pivotField showAll="0"/>
    <pivotField axis="axisRow" showAll="0">
      <items count="12">
        <item x="8"/>
        <item x="7"/>
        <item x="10"/>
        <item x="6"/>
        <item x="4"/>
        <item x="2"/>
        <item x="3"/>
        <item x="9"/>
        <item x="5"/>
        <item x="1"/>
        <item x="0"/>
        <item t="default"/>
      </items>
    </pivotField>
    <pivotField dataField="1" showAll="0"/>
  </pivotFields>
  <rowFields count="1">
    <field x="1"/>
  </rowFields>
  <rowItems count="12">
    <i>
      <x/>
    </i>
    <i>
      <x v="1"/>
    </i>
    <i>
      <x v="2"/>
    </i>
    <i>
      <x v="3"/>
    </i>
    <i>
      <x v="4"/>
    </i>
    <i>
      <x v="5"/>
    </i>
    <i>
      <x v="6"/>
    </i>
    <i>
      <x v="7"/>
    </i>
    <i>
      <x v="8"/>
    </i>
    <i>
      <x v="9"/>
    </i>
    <i>
      <x v="10"/>
    </i>
    <i t="grand">
      <x/>
    </i>
  </rowItems>
  <colItems count="1">
    <i/>
  </colItems>
  <dataFields count="1">
    <dataField name="Sum of Projected" fld="2" baseField="0" baseItem="0" numFmtId="44"/>
  </dataFields>
  <formats count="1">
    <format dxfId="307">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4.xml><?xml version="1.0" encoding="utf-8"?>
<pivotTableDefinition xmlns="http://schemas.openxmlformats.org/spreadsheetml/2006/main" xmlns:mc="http://schemas.openxmlformats.org/markup-compatibility/2006" xmlns:xr="http://schemas.microsoft.com/office/spreadsheetml/2014/revision" mc:Ignorable="xr" xr:uid="{0F8AEA11-B3AF-4228-B366-253EC4726706}" name="PivotTable41" cacheId="172"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Class">
  <location ref="B173:C177" firstHeaderRow="1" firstDataRow="1" firstDataCol="1"/>
  <pivotFields count="3">
    <pivotField axis="axisRow" showAll="0">
      <items count="4">
        <item x="0"/>
        <item x="1"/>
        <item x="2"/>
        <item t="default"/>
      </items>
    </pivotField>
    <pivotField showAll="0"/>
    <pivotField dataField="1" numFmtId="165" showAll="0"/>
  </pivotFields>
  <rowFields count="1">
    <field x="0"/>
  </rowFields>
  <rowItems count="4">
    <i>
      <x/>
    </i>
    <i>
      <x v="1"/>
    </i>
    <i>
      <x v="2"/>
    </i>
    <i t="grand">
      <x/>
    </i>
  </rowItems>
  <colItems count="1">
    <i/>
  </colItems>
  <dataFields count="1">
    <dataField name="Sum of Projected" fld="2" baseField="0" baseItem="0" numFmtId="44"/>
  </dataFields>
  <formats count="1">
    <format dxfId="308">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5.xml><?xml version="1.0" encoding="utf-8"?>
<pivotTableDefinition xmlns="http://schemas.openxmlformats.org/spreadsheetml/2006/main" xmlns:mc="http://schemas.openxmlformats.org/markup-compatibility/2006" xmlns:xr="http://schemas.microsoft.com/office/spreadsheetml/2014/revision" mc:Ignorable="xr" xr:uid="{01674937-8D3E-431D-9E71-CF56EBF9A8FD}" name="PivotTable37" cacheId="188"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General Ledger Accounts">
  <location ref="E143:F146" firstHeaderRow="1" firstDataRow="1" firstDataCol="1"/>
  <pivotFields count="3">
    <pivotField showAll="0"/>
    <pivotField axis="axisRow" showAll="0">
      <items count="4">
        <item m="1" x="2"/>
        <item x="1"/>
        <item x="0"/>
        <item t="default"/>
      </items>
    </pivotField>
    <pivotField dataField="1" numFmtId="165" showAll="0"/>
  </pivotFields>
  <rowFields count="1">
    <field x="1"/>
  </rowFields>
  <rowItems count="3">
    <i>
      <x v="1"/>
    </i>
    <i>
      <x v="2"/>
    </i>
    <i t="grand">
      <x/>
    </i>
  </rowItems>
  <colItems count="1">
    <i/>
  </colItems>
  <dataFields count="1">
    <dataField name="Sum of Projected" fld="2" baseField="0" baseItem="0" numFmtId="44"/>
  </dataFields>
  <formats count="2">
    <format dxfId="310">
      <pivotArea outline="0" collapsedLevelsAreSubtotals="1" fieldPosition="0"/>
    </format>
    <format dxfId="309">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6.xml><?xml version="1.0" encoding="utf-8"?>
<pivotTableDefinition xmlns="http://schemas.openxmlformats.org/spreadsheetml/2006/main" xmlns:mc="http://schemas.openxmlformats.org/markup-compatibility/2006" xmlns:xr="http://schemas.microsoft.com/office/spreadsheetml/2014/revision" mc:Ignorable="xr" xr:uid="{7A06CE17-0FFC-46A5-AB04-DCDC5CF74866}" name="PivotTable53" cacheId="156"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Class ">
  <location ref="B237:C271" firstHeaderRow="1" firstDataRow="1" firstDataCol="1"/>
  <pivotFields count="3">
    <pivotField axis="axisRow" showAll="0" sortType="ascending">
      <items count="35">
        <item x="28"/>
        <item x="13"/>
        <item x="3"/>
        <item x="0"/>
        <item x="2"/>
        <item x="4"/>
        <item x="5"/>
        <item x="6"/>
        <item x="7"/>
        <item x="8"/>
        <item x="9"/>
        <item x="10"/>
        <item x="11"/>
        <item x="12"/>
        <item x="14"/>
        <item x="15"/>
        <item x="16"/>
        <item x="17"/>
        <item x="18"/>
        <item x="20"/>
        <item x="21"/>
        <item x="22"/>
        <item x="23"/>
        <item x="24"/>
        <item x="25"/>
        <item x="31"/>
        <item x="26"/>
        <item x="27"/>
        <item m="1" x="33"/>
        <item x="29"/>
        <item x="30"/>
        <item x="32"/>
        <item x="19"/>
        <item x="1"/>
        <item t="default"/>
      </items>
    </pivotField>
    <pivotField showAll="0"/>
    <pivotField dataField="1" showAll="0"/>
  </pivotFields>
  <rowFields count="1">
    <field x="0"/>
  </rowFields>
  <rowItems count="34">
    <i>
      <x/>
    </i>
    <i>
      <x v="1"/>
    </i>
    <i>
      <x v="2"/>
    </i>
    <i>
      <x v="3"/>
    </i>
    <i>
      <x v="4"/>
    </i>
    <i>
      <x v="5"/>
    </i>
    <i>
      <x v="6"/>
    </i>
    <i>
      <x v="7"/>
    </i>
    <i>
      <x v="8"/>
    </i>
    <i>
      <x v="9"/>
    </i>
    <i>
      <x v="10"/>
    </i>
    <i>
      <x v="11"/>
    </i>
    <i>
      <x v="12"/>
    </i>
    <i>
      <x v="13"/>
    </i>
    <i>
      <x v="14"/>
    </i>
    <i>
      <x v="15"/>
    </i>
    <i>
      <x v="16"/>
    </i>
    <i>
      <x v="17"/>
    </i>
    <i>
      <x v="18"/>
    </i>
    <i>
      <x v="19"/>
    </i>
    <i>
      <x v="20"/>
    </i>
    <i>
      <x v="21"/>
    </i>
    <i>
      <x v="22"/>
    </i>
    <i>
      <x v="23"/>
    </i>
    <i>
      <x v="24"/>
    </i>
    <i>
      <x v="25"/>
    </i>
    <i>
      <x v="26"/>
    </i>
    <i>
      <x v="27"/>
    </i>
    <i>
      <x v="29"/>
    </i>
    <i>
      <x v="30"/>
    </i>
    <i>
      <x v="31"/>
    </i>
    <i>
      <x v="32"/>
    </i>
    <i>
      <x v="33"/>
    </i>
    <i t="grand">
      <x/>
    </i>
  </rowItems>
  <colItems count="1">
    <i/>
  </colItems>
  <dataFields count="1">
    <dataField name="Sum of Projected" fld="2" baseField="0" baseItem="0" numFmtId="44"/>
  </dataFields>
  <formats count="7">
    <format dxfId="317">
      <pivotArea outline="0" collapsedLevelsAreSubtotals="1" fieldPosition="0"/>
    </format>
    <format dxfId="316">
      <pivotArea dataOnly="0" labelOnly="1" outline="0" axis="axisValues" fieldPosition="0"/>
    </format>
    <format dxfId="315">
      <pivotArea dataOnly="0" fieldPosition="0">
        <references count="1">
          <reference field="0" count="6">
            <x v="6"/>
            <x v="9"/>
            <x v="19"/>
            <x v="21"/>
            <x v="22"/>
            <x v="30"/>
          </reference>
        </references>
      </pivotArea>
    </format>
    <format dxfId="314">
      <pivotArea collapsedLevelsAreSubtotals="1" fieldPosition="0">
        <references count="1">
          <reference field="0" count="1">
            <x v="9"/>
          </reference>
        </references>
      </pivotArea>
    </format>
    <format dxfId="313">
      <pivotArea dataOnly="0" labelOnly="1" fieldPosition="0">
        <references count="1">
          <reference field="0" count="1">
            <x v="9"/>
          </reference>
        </references>
      </pivotArea>
    </format>
    <format dxfId="312">
      <pivotArea collapsedLevelsAreSubtotals="1" fieldPosition="0">
        <references count="1">
          <reference field="0" count="1">
            <x v="10"/>
          </reference>
        </references>
      </pivotArea>
    </format>
    <format dxfId="311">
      <pivotArea dataOnly="0" labelOnly="1" fieldPosition="0">
        <references count="1">
          <reference field="0" count="1">
            <x v="1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7.xml><?xml version="1.0" encoding="utf-8"?>
<pivotTableDefinition xmlns="http://schemas.openxmlformats.org/spreadsheetml/2006/main" xmlns:mc="http://schemas.openxmlformats.org/markup-compatibility/2006" xmlns:xr="http://schemas.microsoft.com/office/spreadsheetml/2014/revision" mc:Ignorable="xr" xr:uid="{A6E6F27E-C57D-4A70-80D9-FDD435F91935}" name="PivotTable51" cacheId="16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Class">
  <location ref="B201:C235" firstHeaderRow="1" firstDataRow="1" firstDataCol="1"/>
  <pivotFields count="3">
    <pivotField axis="axisRow" showAll="0">
      <items count="36">
        <item m="1" x="34"/>
        <item x="3"/>
        <item x="7"/>
        <item x="0"/>
        <item x="2"/>
        <item x="4"/>
        <item x="5"/>
        <item x="6"/>
        <item x="8"/>
        <item x="9"/>
        <item x="10"/>
        <item x="11"/>
        <item x="12"/>
        <item x="13"/>
        <item x="14"/>
        <item x="15"/>
        <item x="16"/>
        <item x="17"/>
        <item x="18"/>
        <item x="20"/>
        <item x="21"/>
        <item x="22"/>
        <item x="23"/>
        <item x="24"/>
        <item x="25"/>
        <item x="31"/>
        <item x="26"/>
        <item x="27"/>
        <item x="29"/>
        <item x="30"/>
        <item x="32"/>
        <item m="1" x="33"/>
        <item x="1"/>
        <item x="28"/>
        <item x="19"/>
        <item t="default"/>
      </items>
    </pivotField>
    <pivotField showAll="0"/>
    <pivotField dataField="1" showAll="0"/>
  </pivotFields>
  <rowFields count="1">
    <field x="0"/>
  </rowFields>
  <rowItems count="34">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2"/>
    </i>
    <i>
      <x v="33"/>
    </i>
    <i>
      <x v="34"/>
    </i>
    <i t="grand">
      <x/>
    </i>
  </rowItems>
  <colItems count="1">
    <i/>
  </colItems>
  <dataFields count="1">
    <dataField name="Sum of Projected" fld="2" baseField="0" baseItem="0"/>
  </dataFields>
  <formats count="7">
    <format dxfId="324">
      <pivotArea collapsedLevelsAreSubtotals="1" fieldPosition="0">
        <references count="1">
          <reference field="0" count="0"/>
        </references>
      </pivotArea>
    </format>
    <format dxfId="323">
      <pivotArea grandRow="1" outline="0" collapsedLevelsAreSubtotals="1" fieldPosition="0"/>
    </format>
    <format dxfId="322">
      <pivotArea dataOnly="0" fieldPosition="0">
        <references count="1">
          <reference field="0" count="8">
            <x v="5"/>
            <x v="6"/>
            <x v="9"/>
            <x v="19"/>
            <x v="20"/>
            <x v="21"/>
            <x v="22"/>
            <x v="29"/>
          </reference>
        </references>
      </pivotArea>
    </format>
    <format dxfId="321">
      <pivotArea collapsedLevelsAreSubtotals="1" fieldPosition="0">
        <references count="1">
          <reference field="0" count="1">
            <x v="19"/>
          </reference>
        </references>
      </pivotArea>
    </format>
    <format dxfId="320">
      <pivotArea dataOnly="0" labelOnly="1" fieldPosition="0">
        <references count="1">
          <reference field="0" count="1">
            <x v="19"/>
          </reference>
        </references>
      </pivotArea>
    </format>
    <format dxfId="319">
      <pivotArea collapsedLevelsAreSubtotals="1" fieldPosition="0">
        <references count="1">
          <reference field="0" count="1">
            <x v="5"/>
          </reference>
        </references>
      </pivotArea>
    </format>
    <format dxfId="318">
      <pivotArea dataOnly="0" labelOnly="1" fieldPosition="0">
        <references count="1">
          <reference field="0" count="1">
            <x v="5"/>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8.xml><?xml version="1.0" encoding="utf-8"?>
<pivotTableDefinition xmlns="http://schemas.openxmlformats.org/spreadsheetml/2006/main" xmlns:mc="http://schemas.openxmlformats.org/markup-compatibility/2006" xmlns:xr="http://schemas.microsoft.com/office/spreadsheetml/2014/revision" mc:Ignorable="xr" xr:uid="{84D24E08-11BA-486D-BAFA-46A0DB2D7A5E}" name="PivotTable32" cacheId="208"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General Ledger Accounts">
  <location ref="E82:F89" firstHeaderRow="1" firstDataRow="1" firstDataCol="1"/>
  <pivotFields count="3">
    <pivotField showAll="0"/>
    <pivotField axis="axisRow" showAll="0">
      <items count="7">
        <item x="5"/>
        <item x="3"/>
        <item x="4"/>
        <item x="2"/>
        <item x="0"/>
        <item x="1"/>
        <item t="default"/>
      </items>
    </pivotField>
    <pivotField dataField="1" numFmtId="165" showAll="0"/>
  </pivotFields>
  <rowFields count="1">
    <field x="1"/>
  </rowFields>
  <rowItems count="7">
    <i>
      <x/>
    </i>
    <i>
      <x v="1"/>
    </i>
    <i>
      <x v="2"/>
    </i>
    <i>
      <x v="3"/>
    </i>
    <i>
      <x v="4"/>
    </i>
    <i>
      <x v="5"/>
    </i>
    <i t="grand">
      <x/>
    </i>
  </rowItems>
  <colItems count="1">
    <i/>
  </colItems>
  <dataFields count="1">
    <dataField name="Sum of Projected" fld="2" baseField="0" baseItem="0" numFmtId="44"/>
  </dataFields>
  <formats count="2">
    <format dxfId="326">
      <pivotArea outline="0" collapsedLevelsAreSubtotals="1" fieldPosition="0"/>
    </format>
    <format dxfId="325">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9.xml><?xml version="1.0" encoding="utf-8"?>
<pivotTableDefinition xmlns="http://schemas.openxmlformats.org/spreadsheetml/2006/main" xmlns:mc="http://schemas.openxmlformats.org/markup-compatibility/2006" xmlns:xr="http://schemas.microsoft.com/office/spreadsheetml/2014/revision" mc:Ignorable="xr" xr:uid="{2817EF08-03A0-417B-A937-A672FB270C1A}" name="PivotTable45" cacheId="164"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Class">
  <location ref="B191:C194" firstHeaderRow="1" firstDataRow="1" firstDataCol="1"/>
  <pivotFields count="3">
    <pivotField axis="axisRow" showAll="0">
      <items count="3">
        <item x="0"/>
        <item x="1"/>
        <item t="default"/>
      </items>
    </pivotField>
    <pivotField showAll="0"/>
    <pivotField dataField="1" numFmtId="44" showAll="0"/>
  </pivotFields>
  <rowFields count="1">
    <field x="0"/>
  </rowFields>
  <rowItems count="3">
    <i>
      <x/>
    </i>
    <i>
      <x v="1"/>
    </i>
    <i t="grand">
      <x/>
    </i>
  </rowItems>
  <colItems count="1">
    <i/>
  </colItems>
  <dataFields count="1">
    <dataField name="Sum of Projected " fld="2" baseField="0" baseItem="0" numFmtId="44"/>
  </dataFields>
  <formats count="2">
    <format dxfId="328">
      <pivotArea outline="0" collapsedLevelsAreSubtotals="1" fieldPosition="0"/>
    </format>
    <format dxfId="327">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C9B73C8D-724C-4441-BF00-9001F0099A66}" name="PivotTable19" cacheId="204"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Class">
  <location ref="B91:C100" firstHeaderRow="1" firstDataRow="1" firstDataCol="1"/>
  <pivotFields count="3">
    <pivotField axis="axisRow" showAll="0">
      <items count="9">
        <item x="7"/>
        <item x="6"/>
        <item x="5"/>
        <item x="0"/>
        <item x="1"/>
        <item x="2"/>
        <item x="4"/>
        <item x="3"/>
        <item t="default"/>
      </items>
    </pivotField>
    <pivotField showAll="0"/>
    <pivotField dataField="1" showAll="0"/>
  </pivotFields>
  <rowFields count="1">
    <field x="0"/>
  </rowFields>
  <rowItems count="9">
    <i>
      <x/>
    </i>
    <i>
      <x v="1"/>
    </i>
    <i>
      <x v="2"/>
    </i>
    <i>
      <x v="3"/>
    </i>
    <i>
      <x v="4"/>
    </i>
    <i>
      <x v="5"/>
    </i>
    <i>
      <x v="6"/>
    </i>
    <i>
      <x v="7"/>
    </i>
    <i t="grand">
      <x/>
    </i>
  </rowItems>
  <colItems count="1">
    <i/>
  </colItems>
  <dataFields count="1">
    <dataField name="Sum of Projected" fld="2" baseField="0" baseItem="0" numFmtId="44"/>
  </dataFields>
  <formats count="2">
    <format dxfId="271">
      <pivotArea outline="0" collapsedLevelsAreSubtotals="1" fieldPosition="0"/>
    </format>
    <format dxfId="270">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0.xml><?xml version="1.0" encoding="utf-8"?>
<pivotTableDefinition xmlns="http://schemas.openxmlformats.org/spreadsheetml/2006/main" xmlns:mc="http://schemas.openxmlformats.org/markup-compatibility/2006" xmlns:xr="http://schemas.microsoft.com/office/spreadsheetml/2014/revision" mc:Ignorable="xr" xr:uid="{FF754EC0-7331-45EA-B8E1-045429F408B9}" name="PivotTable22" cacheId="196"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Class">
  <location ref="B129:C131" firstHeaderRow="1" firstDataRow="1" firstDataCol="1"/>
  <pivotFields count="3">
    <pivotField axis="axisRow" showAll="0">
      <items count="2">
        <item x="0"/>
        <item t="default"/>
      </items>
    </pivotField>
    <pivotField showAll="0"/>
    <pivotField dataField="1" numFmtId="165" showAll="0"/>
  </pivotFields>
  <rowFields count="1">
    <field x="0"/>
  </rowFields>
  <rowItems count="2">
    <i>
      <x/>
    </i>
    <i t="grand">
      <x/>
    </i>
  </rowItems>
  <colItems count="1">
    <i/>
  </colItems>
  <dataFields count="1">
    <dataField name="Sum of Projected" fld="2" baseField="0" baseItem="0" numFmtId="44"/>
  </dataFields>
  <formats count="2">
    <format dxfId="330">
      <pivotArea outline="0" collapsedLevelsAreSubtotals="1" fieldPosition="0"/>
    </format>
    <format dxfId="329">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1.xml><?xml version="1.0" encoding="utf-8"?>
<pivotTableDefinition xmlns="http://schemas.openxmlformats.org/spreadsheetml/2006/main" xmlns:mc="http://schemas.openxmlformats.org/markup-compatibility/2006" xmlns:xr="http://schemas.microsoft.com/office/spreadsheetml/2014/revision" mc:Ignorable="xr" xr:uid="{5FBF508B-CF99-4D92-B57C-624C8EED83A6}" name="PivotTable23" cacheId="192"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Class">
  <location ref="B133:C138" firstHeaderRow="1" firstDataRow="1" firstDataCol="1"/>
  <pivotFields count="3">
    <pivotField axis="axisRow" showAll="0">
      <items count="5">
        <item x="1"/>
        <item x="0"/>
        <item x="2"/>
        <item x="3"/>
        <item t="default"/>
      </items>
    </pivotField>
    <pivotField showAll="0"/>
    <pivotField dataField="1" numFmtId="165" showAll="0"/>
  </pivotFields>
  <rowFields count="1">
    <field x="0"/>
  </rowFields>
  <rowItems count="5">
    <i>
      <x/>
    </i>
    <i>
      <x v="1"/>
    </i>
    <i>
      <x v="2"/>
    </i>
    <i>
      <x v="3"/>
    </i>
    <i t="grand">
      <x/>
    </i>
  </rowItems>
  <colItems count="1">
    <i/>
  </colItems>
  <dataFields count="1">
    <dataField name="Sum of Projected" fld="2" baseField="0" baseItem="0" numFmtId="44"/>
  </dataFields>
  <formats count="2">
    <format dxfId="332">
      <pivotArea outline="0" collapsedLevelsAreSubtotals="1" fieldPosition="0"/>
    </format>
    <format dxfId="331">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2.xml><?xml version="1.0" encoding="utf-8"?>
<pivotTableDefinition xmlns="http://schemas.openxmlformats.org/spreadsheetml/2006/main" xmlns:mc="http://schemas.openxmlformats.org/markup-compatibility/2006" xmlns:xr="http://schemas.microsoft.com/office/spreadsheetml/2014/revision" mc:Ignorable="xr" xr:uid="{1CFEEE0E-D8C1-4762-AC4A-53052B35E269}" name="PivotTable55" cacheId="156"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E237:F255" firstHeaderRow="1" firstDataRow="1" firstDataCol="1"/>
  <pivotFields count="3">
    <pivotField showAll="0"/>
    <pivotField axis="axisRow" showAll="0">
      <items count="39">
        <item x="16"/>
        <item x="15"/>
        <item x="12"/>
        <item x="9"/>
        <item m="1" x="25"/>
        <item x="13"/>
        <item m="1" x="28"/>
        <item m="1" x="36"/>
        <item m="1" x="21"/>
        <item m="1" x="32"/>
        <item m="1" x="19"/>
        <item m="1" x="35"/>
        <item x="7"/>
        <item m="1" x="27"/>
        <item x="17"/>
        <item m="1" x="24"/>
        <item m="1" x="34"/>
        <item x="11"/>
        <item m="1" x="30"/>
        <item x="3"/>
        <item m="1" x="33"/>
        <item m="1" x="20"/>
        <item m="1" x="22"/>
        <item x="10"/>
        <item m="1" x="29"/>
        <item m="1" x="18"/>
        <item x="5"/>
        <item x="4"/>
        <item m="1" x="37"/>
        <item x="8"/>
        <item x="6"/>
        <item m="1" x="23"/>
        <item x="14"/>
        <item m="1" x="26"/>
        <item m="1" x="31"/>
        <item x="0"/>
        <item h="1" x="1"/>
        <item x="2"/>
        <item t="default"/>
      </items>
    </pivotField>
    <pivotField dataField="1" showAll="0"/>
  </pivotFields>
  <rowFields count="1">
    <field x="1"/>
  </rowFields>
  <rowItems count="18">
    <i>
      <x/>
    </i>
    <i>
      <x v="1"/>
    </i>
    <i>
      <x v="2"/>
    </i>
    <i>
      <x v="3"/>
    </i>
    <i>
      <x v="5"/>
    </i>
    <i>
      <x v="12"/>
    </i>
    <i>
      <x v="14"/>
    </i>
    <i>
      <x v="17"/>
    </i>
    <i>
      <x v="19"/>
    </i>
    <i>
      <x v="23"/>
    </i>
    <i>
      <x v="26"/>
    </i>
    <i>
      <x v="27"/>
    </i>
    <i>
      <x v="29"/>
    </i>
    <i>
      <x v="30"/>
    </i>
    <i>
      <x v="32"/>
    </i>
    <i>
      <x v="35"/>
    </i>
    <i>
      <x v="37"/>
    </i>
    <i t="grand">
      <x/>
    </i>
  </rowItems>
  <colItems count="1">
    <i/>
  </colItems>
  <dataFields count="1">
    <dataField name="Sum of Projected" fld="2" baseField="0" baseItem="0"/>
  </dataFields>
  <formats count="2">
    <format dxfId="334">
      <pivotArea collapsedLevelsAreSubtotals="1" fieldPosition="0">
        <references count="1">
          <reference field="1" count="0"/>
        </references>
      </pivotArea>
    </format>
    <format dxfId="333">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3.xml><?xml version="1.0" encoding="utf-8"?>
<pivotTableDefinition xmlns="http://schemas.openxmlformats.org/spreadsheetml/2006/main" xmlns:mc="http://schemas.openxmlformats.org/markup-compatibility/2006" xmlns:xr="http://schemas.microsoft.com/office/spreadsheetml/2014/revision" mc:Ignorable="xr" xr:uid="{C6BE196E-40CD-4255-8A1C-9A8E28AD1C3E}" name="PivotTable24" cacheId="188"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Class">
  <location ref="B143:C146" firstHeaderRow="1" firstDataRow="1" firstDataCol="1"/>
  <pivotFields count="3">
    <pivotField axis="axisRow" showAll="0">
      <items count="3">
        <item x="0"/>
        <item x="1"/>
        <item t="default"/>
      </items>
    </pivotField>
    <pivotField showAll="0"/>
    <pivotField dataField="1" numFmtId="165" showAll="0"/>
  </pivotFields>
  <rowFields count="1">
    <field x="0"/>
  </rowFields>
  <rowItems count="3">
    <i>
      <x/>
    </i>
    <i>
      <x v="1"/>
    </i>
    <i t="grand">
      <x/>
    </i>
  </rowItems>
  <colItems count="1">
    <i/>
  </colItems>
  <dataFields count="1">
    <dataField name="Sum of Projected" fld="2" baseField="0" baseItem="0" numFmtId="44"/>
  </dataFields>
  <formats count="2">
    <format dxfId="336">
      <pivotArea outline="0" collapsedLevelsAreSubtotals="1" fieldPosition="0"/>
    </format>
    <format dxfId="335">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4.xml><?xml version="1.0" encoding="utf-8"?>
<pivotTableDefinition xmlns="http://schemas.openxmlformats.org/spreadsheetml/2006/main" xmlns:mc="http://schemas.openxmlformats.org/markup-compatibility/2006" xmlns:xr="http://schemas.microsoft.com/office/spreadsheetml/2014/revision" mc:Ignorable="xr" xr:uid="{8F1B1A1F-DAE2-4DCC-BD9C-EB2768124D8C}" name="PivotTable27" cacheId="18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Class">
  <location ref="B158:C160" firstHeaderRow="1" firstDataRow="1" firstDataCol="1"/>
  <pivotFields count="3">
    <pivotField axis="axisRow" showAll="0">
      <items count="2">
        <item x="0"/>
        <item t="default"/>
      </items>
    </pivotField>
    <pivotField showAll="0"/>
    <pivotField dataField="1" numFmtId="165" showAll="0"/>
  </pivotFields>
  <rowFields count="1">
    <field x="0"/>
  </rowFields>
  <rowItems count="2">
    <i>
      <x/>
    </i>
    <i t="grand">
      <x/>
    </i>
  </rowItems>
  <colItems count="1">
    <i/>
  </colItems>
  <dataFields count="1">
    <dataField name="Sum of Projected" fld="2" baseField="0" baseItem="0" numFmtId="44"/>
  </dataFields>
  <formats count="2">
    <format dxfId="338">
      <pivotArea outline="0" collapsedLevelsAreSubtotals="1" fieldPosition="0"/>
    </format>
    <format dxfId="337">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3F39AE78-7BAB-4C73-B51F-A6F8EF2BDC45}" name="PivotTable43" cacheId="168"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Class">
  <location ref="B179:C183" firstHeaderRow="1" firstDataRow="1" firstDataCol="1"/>
  <pivotFields count="3">
    <pivotField axis="axisRow" showAll="0">
      <items count="4">
        <item x="0"/>
        <item x="1"/>
        <item x="2"/>
        <item t="default"/>
      </items>
    </pivotField>
    <pivotField showAll="0"/>
    <pivotField dataField="1" showAll="0"/>
  </pivotFields>
  <rowFields count="1">
    <field x="0"/>
  </rowFields>
  <rowItems count="4">
    <i>
      <x/>
    </i>
    <i>
      <x v="1"/>
    </i>
    <i>
      <x v="2"/>
    </i>
    <i t="grand">
      <x/>
    </i>
  </rowItems>
  <colItems count="1">
    <i/>
  </colItems>
  <dataFields count="1">
    <dataField name="Sum of Projected" fld="2" baseField="0" baseItem="0"/>
  </dataFields>
  <formats count="2">
    <format dxfId="273">
      <pivotArea collapsedLevelsAreSubtotals="1" fieldPosition="0">
        <references count="1">
          <reference field="0" count="0"/>
        </references>
      </pivotArea>
    </format>
    <format dxfId="272">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46EA6A05-5D63-4487-A6BD-3D9C301BED64}" name="PivotTable13" cacheId="22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Class">
  <location ref="B47:C54" firstHeaderRow="1" firstDataRow="1" firstDataCol="1"/>
  <pivotFields count="3">
    <pivotField axis="axisRow" showAll="0">
      <items count="7">
        <item x="4"/>
        <item x="2"/>
        <item x="3"/>
        <item x="5"/>
        <item x="0"/>
        <item x="1"/>
        <item t="default"/>
      </items>
    </pivotField>
    <pivotField showAll="0"/>
    <pivotField dataField="1" showAll="0"/>
  </pivotFields>
  <rowFields count="1">
    <field x="0"/>
  </rowFields>
  <rowItems count="7">
    <i>
      <x/>
    </i>
    <i>
      <x v="1"/>
    </i>
    <i>
      <x v="2"/>
    </i>
    <i>
      <x v="3"/>
    </i>
    <i>
      <x v="4"/>
    </i>
    <i>
      <x v="5"/>
    </i>
    <i t="grand">
      <x/>
    </i>
  </rowItems>
  <colItems count="1">
    <i/>
  </colItems>
  <dataFields count="1">
    <dataField name="Sum of Projected" fld="2" baseField="0" baseItem="0" numFmtId="44"/>
  </dataFields>
  <formats count="2">
    <format dxfId="275">
      <pivotArea outline="0" collapsedLevelsAreSubtotals="1" fieldPosition="0"/>
    </format>
    <format dxfId="274">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2ADC8B99-F0B1-415C-8665-0E63B797C031}" name="PivotTable38" cacheId="184"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General Ledger Accounts">
  <location ref="E148:F152" firstHeaderRow="1" firstDataRow="1" firstDataCol="1"/>
  <pivotFields count="3">
    <pivotField showAll="0"/>
    <pivotField axis="axisRow" showAll="0">
      <items count="5">
        <item x="0"/>
        <item x="1"/>
        <item m="1" x="3"/>
        <item x="2"/>
        <item t="default"/>
      </items>
    </pivotField>
    <pivotField dataField="1" numFmtId="165" showAll="0"/>
  </pivotFields>
  <rowFields count="1">
    <field x="1"/>
  </rowFields>
  <rowItems count="4">
    <i>
      <x/>
    </i>
    <i>
      <x v="1"/>
    </i>
    <i>
      <x v="3"/>
    </i>
    <i t="grand">
      <x/>
    </i>
  </rowItems>
  <colItems count="1">
    <i/>
  </colItems>
  <dataFields count="1">
    <dataField name="Sum of Projected" fld="2" baseField="0" baseItem="0" numFmtId="44"/>
  </dataFields>
  <formats count="2">
    <format dxfId="277">
      <pivotArea outline="0" collapsedLevelsAreSubtotals="1" fieldPosition="0"/>
    </format>
    <format dxfId="276">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E3916B02-9EF9-4084-B7AD-534D2D8A1D7D}" name="PivotTable42" cacheId="172"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General Ledger Accounts">
  <location ref="E173:F175" firstHeaderRow="1" firstDataRow="1" firstDataCol="1"/>
  <pivotFields count="3">
    <pivotField showAll="0"/>
    <pivotField axis="axisRow" showAll="0">
      <items count="2">
        <item x="0"/>
        <item t="default"/>
      </items>
    </pivotField>
    <pivotField dataField="1" numFmtId="165" showAll="0"/>
  </pivotFields>
  <rowFields count="1">
    <field x="1"/>
  </rowFields>
  <rowItems count="2">
    <i>
      <x/>
    </i>
    <i t="grand">
      <x/>
    </i>
  </rowItems>
  <colItems count="1">
    <i/>
  </colItems>
  <dataFields count="1">
    <dataField name="Sum of Projected" fld="2" baseField="0" baseItem="0" numFmtId="44"/>
  </dataFields>
  <formats count="1">
    <format dxfId="278">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xml><?xml version="1.0" encoding="utf-8"?>
<pivotTableDefinition xmlns="http://schemas.openxmlformats.org/spreadsheetml/2006/main" xmlns:mc="http://schemas.openxmlformats.org/markup-compatibility/2006" xmlns:xr="http://schemas.microsoft.com/office/spreadsheetml/2014/revision" mc:Ignorable="xr" xr:uid="{C4A26429-9026-4178-A325-0060A119E73F}" name="PivotTable46" cacheId="164"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General Ledger Accounts">
  <location ref="E191:F196" firstHeaderRow="1" firstDataRow="1" firstDataCol="1"/>
  <pivotFields count="3">
    <pivotField showAll="0"/>
    <pivotField axis="axisRow" showAll="0">
      <items count="5">
        <item x="1"/>
        <item x="2"/>
        <item x="3"/>
        <item x="0"/>
        <item t="default"/>
      </items>
    </pivotField>
    <pivotField dataField="1" numFmtId="44" showAll="0"/>
  </pivotFields>
  <rowFields count="1">
    <field x="1"/>
  </rowFields>
  <rowItems count="5">
    <i>
      <x/>
    </i>
    <i>
      <x v="1"/>
    </i>
    <i>
      <x v="2"/>
    </i>
    <i>
      <x v="3"/>
    </i>
    <i t="grand">
      <x/>
    </i>
  </rowItems>
  <colItems count="1">
    <i/>
  </colItems>
  <dataFields count="1">
    <dataField name="Sum of Projected " fld="2" baseField="0" baseItem="0" numFmtId="44"/>
  </dataFields>
  <formats count="2">
    <format dxfId="280">
      <pivotArea outline="0" collapsedLevelsAreSubtotals="1" fieldPosition="0"/>
    </format>
    <format dxfId="279">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xml><?xml version="1.0" encoding="utf-8"?>
<pivotTableDefinition xmlns="http://schemas.openxmlformats.org/spreadsheetml/2006/main" xmlns:mc="http://schemas.openxmlformats.org/markup-compatibility/2006" xmlns:xr="http://schemas.microsoft.com/office/spreadsheetml/2014/revision" mc:Ignorable="xr" xr:uid="{C26D2139-97A6-47B9-AB58-8670BFB6D03E}" name="PivotTable21" cacheId="20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Class">
  <location ref="B120:C125" firstHeaderRow="1" firstDataRow="1" firstDataCol="1"/>
  <pivotFields count="3">
    <pivotField axis="axisRow" showAll="0">
      <items count="6">
        <item x="1"/>
        <item x="3"/>
        <item x="2"/>
        <item m="1" x="4"/>
        <item x="0"/>
        <item t="default"/>
      </items>
    </pivotField>
    <pivotField showAll="0"/>
    <pivotField dataField="1" numFmtId="44" showAll="0"/>
  </pivotFields>
  <rowFields count="1">
    <field x="0"/>
  </rowFields>
  <rowItems count="5">
    <i>
      <x/>
    </i>
    <i>
      <x v="1"/>
    </i>
    <i>
      <x v="2"/>
    </i>
    <i>
      <x v="4"/>
    </i>
    <i t="grand">
      <x/>
    </i>
  </rowItems>
  <colItems count="1">
    <i/>
  </colItems>
  <dataFields count="1">
    <dataField name="Sum of Projected" fld="2" baseField="0" baseItem="0" numFmtId="44"/>
  </dataFields>
  <formats count="2">
    <format dxfId="282">
      <pivotArea outline="0" collapsedLevelsAreSubtotals="1" fieldPosition="0"/>
    </format>
    <format dxfId="281">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7D26420B-0388-4B8B-B9FD-9E5589B44862}" name="Table15" displayName="Table15" ref="A1:E14" totalsRowShown="0">
  <autoFilter ref="A1:E14" xr:uid="{E2EB5823-F875-4E9E-9FF1-9DEF01E09B30}"/>
  <tableColumns count="5">
    <tableColumn id="1" xr3:uid="{DCA98890-7EC0-4AF6-B998-55C64ACEC883}" name="Fiscal Year" dataDxfId="265"/>
    <tableColumn id="2" xr3:uid="{2E8082A2-311E-43DB-85C1-3B779C9920EB}" name="Revenue Amount "/>
    <tableColumn id="3" xr3:uid="{64AFB4F6-05B5-4094-93A4-82B49AA756FC}" name="Forecast(Revenue Amount )" dataDxfId="264">
      <calculatedColumnFormula>_xlfn.FORECAST.ETS(A2,$B$2:$B$10,$A$2:$A$10,1,1)</calculatedColumnFormula>
    </tableColumn>
    <tableColumn id="4" xr3:uid="{01178F39-DA8C-4865-BE86-7CF1930FAABF}" name="Lower Confidence Bound(Revenue Amount )" dataDxfId="263">
      <calculatedColumnFormula>C2-_xlfn.FORECAST.ETS.CONFINT(A2,$B$2:$B$10,$A$2:$A$10,0.95,1,1)</calculatedColumnFormula>
    </tableColumn>
    <tableColumn id="5" xr3:uid="{86EE523B-26CB-4637-AD5A-9790620282AF}" name="Upper Confidence Bound(Revenue Amount )" dataDxfId="262">
      <calculatedColumnFormula>C2+_xlfn.FORECAST.ETS.CONFINT(A2,$B$2:$B$10,$A$2:$A$10,0.95,1,1)</calculatedColumnFormula>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EFFB4ED3-26E8-4D8D-9ED9-B615820A3491}" name="Table16" displayName="Table16" ref="G1:H8" totalsRowShown="0">
  <autoFilter ref="G1:H8" xr:uid="{1DB4D01C-30E8-4A75-B034-C97E753AD75C}"/>
  <tableColumns count="2">
    <tableColumn id="1" xr3:uid="{C06711EB-D191-4381-AF0F-D0CEA45D6084}" name="Statistic"/>
    <tableColumn id="2" xr3:uid="{11379A84-C902-4A71-972F-AB0B5C640490}" name="Value" dataDxfId="261"/>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8FE63543-FC27-4BA1-B4C4-482144540329}" name="Table13" displayName="Table13" ref="A1:E14" totalsRowShown="0">
  <autoFilter ref="A1:E14" xr:uid="{58DE6737-CDD4-4DFA-A87F-9AB31C2F5127}"/>
  <tableColumns count="5">
    <tableColumn id="1" xr3:uid="{B7503AD5-4DC1-4729-966D-87EC4F5B422B}" name="Fiscal Year" dataDxfId="260"/>
    <tableColumn id="2" xr3:uid="{8F90945C-0120-446D-9226-14145EDF3249}" name="Expense Amount "/>
    <tableColumn id="3" xr3:uid="{EE759404-F550-415C-9AD4-BF2252D0D540}" name="Forecast(Expense Amount )" dataDxfId="259">
      <calculatedColumnFormula>_xlfn.FORECAST.ETS(A2,$B$2:$B$10,$A$2:$A$10,1,1)</calculatedColumnFormula>
    </tableColumn>
    <tableColumn id="4" xr3:uid="{A82AE453-7790-4124-B123-02CCF1FE478E}" name="Lower Confidence Bound(Expense Amount )" dataDxfId="258">
      <calculatedColumnFormula>C2-_xlfn.FORECAST.ETS.CONFINT(A2,$B$2:$B$10,$A$2:$A$10,0.95,1,1)</calculatedColumnFormula>
    </tableColumn>
    <tableColumn id="5" xr3:uid="{36BB6E12-3EDA-4701-9298-1457F71D6B94}" name="Upper Confidence Bound(Expense Amount )" dataDxfId="257">
      <calculatedColumnFormula>C2+_xlfn.FORECAST.ETS.CONFINT(A2,$B$2:$B$10,$A$2:$A$10,0.95,1,1)</calculatedColumnFormula>
    </tableColumn>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59A1A8A-1176-41EB-A670-10CE15822B08}" name="Table14" displayName="Table14" ref="G1:H8" totalsRowShown="0">
  <autoFilter ref="G1:H8" xr:uid="{E8EDBBD9-32BB-4F52-BDD8-36488D24A69C}"/>
  <tableColumns count="2">
    <tableColumn id="1" xr3:uid="{4C2704A1-5DB4-49F4-B308-59A506BA98FC}" name="Statistic"/>
    <tableColumn id="2" xr3:uid="{C238F47C-4A25-4935-B1E9-7B519C2A9CC6}" name="Value" dataDxfId="256"/>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5E4720CA-2C95-4DC1-813F-83752E06A344}" name="Table17" displayName="Table17" ref="A1:E11" totalsRowShown="0">
  <autoFilter ref="A1:E11" xr:uid="{C341B7EA-3A8B-44BE-BCBB-82674F2BB6AA}"/>
  <tableColumns count="5">
    <tableColumn id="1" xr3:uid="{FF0A33A8-3382-4D22-BCFC-F172EB2ED6C2}" name="Fiscal Year" dataDxfId="255"/>
    <tableColumn id="2" xr3:uid="{6C8AF143-6C79-49AF-8C65-75C12CDB11D0}" name="Revenue Amount " dataDxfId="254"/>
    <tableColumn id="3" xr3:uid="{AB33E2E9-AB34-420B-A503-4E05A69C63E5}" name="Forecast(Revenue Amount )" dataDxfId="253"/>
    <tableColumn id="4" xr3:uid="{9D8237D6-B47F-4A3E-A3AB-30989EC7B6B7}" name="Lower Confidence Bound(Revenue Amount )" dataDxfId="252"/>
    <tableColumn id="5" xr3:uid="{D6932922-9C3A-4E84-ABF7-0BFA543BC1AC}" name="Upper Confidence Bound(Revenue Amount )" dataDxfId="251"/>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DCE9C05D-DD96-4705-8586-5811D8E5B97C}" name="Table18" displayName="Table18" ref="A1:E11" totalsRowShown="0">
  <autoFilter ref="A1:E11" xr:uid="{845F4938-C28E-46C6-912E-CD4076244052}"/>
  <tableColumns count="5">
    <tableColumn id="1" xr3:uid="{7D41CB97-8078-4C3B-9057-97930F0A8D90}" name="Fiscal Year" dataDxfId="250"/>
    <tableColumn id="2" xr3:uid="{3EC404E0-3A50-488C-87D6-995CA56C7EBF}" name="Expense Amount " dataDxfId="249"/>
    <tableColumn id="3" xr3:uid="{4DD339E1-9648-4C14-AB03-338C5FDE18B9}" name="Forecast(Expense Amount )" dataDxfId="248"/>
    <tableColumn id="4" xr3:uid="{4338E59D-3A5E-4E13-B932-87A1C1327DC1}" name="Lower Confidence Bound(Expense Amount )" dataDxfId="247"/>
    <tableColumn id="5" xr3:uid="{B0B91DFE-A325-4C22-BAB8-BF8E3594809F}" name="Upper Confidence Bound(Expense Amount )" dataDxfId="246"/>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3.xml"/></Relationships>
</file>

<file path=xl/worksheets/_rels/sheet1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drawing" Target="../drawings/drawing4.xml"/></Relationships>
</file>

<file path=xl/worksheets/_rels/sheet15.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drawing" Target="../drawings/drawing5.xml"/></Relationships>
</file>

<file path=xl/worksheets/_rels/sheet1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drawing" Target="../drawings/drawing6.xml"/></Relationships>
</file>

<file path=xl/worksheets/_rels/sheet17.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drawing" Target="../drawings/drawing7.xml"/></Relationships>
</file>

<file path=xl/worksheets/_rels/sheet2.xml.rels><?xml version="1.0" encoding="UTF-8" standalone="yes"?>
<Relationships xmlns="http://schemas.openxmlformats.org/package/2006/relationships"><Relationship Id="rId8" Type="http://schemas.openxmlformats.org/officeDocument/2006/relationships/pivotTable" Target="../pivotTables/pivotTable8.xml"/><Relationship Id="rId13" Type="http://schemas.openxmlformats.org/officeDocument/2006/relationships/pivotTable" Target="../pivotTables/pivotTable13.xml"/><Relationship Id="rId18" Type="http://schemas.openxmlformats.org/officeDocument/2006/relationships/pivotTable" Target="../pivotTables/pivotTable18.xml"/><Relationship Id="rId26" Type="http://schemas.openxmlformats.org/officeDocument/2006/relationships/pivotTable" Target="../pivotTables/pivotTable26.xml"/><Relationship Id="rId3" Type="http://schemas.openxmlformats.org/officeDocument/2006/relationships/pivotTable" Target="../pivotTables/pivotTable3.xml"/><Relationship Id="rId21" Type="http://schemas.openxmlformats.org/officeDocument/2006/relationships/pivotTable" Target="../pivotTables/pivotTable21.xml"/><Relationship Id="rId34" Type="http://schemas.openxmlformats.org/officeDocument/2006/relationships/pivotTable" Target="../pivotTables/pivotTable34.xml"/><Relationship Id="rId7" Type="http://schemas.openxmlformats.org/officeDocument/2006/relationships/pivotTable" Target="../pivotTables/pivotTable7.xml"/><Relationship Id="rId12" Type="http://schemas.openxmlformats.org/officeDocument/2006/relationships/pivotTable" Target="../pivotTables/pivotTable12.xml"/><Relationship Id="rId17" Type="http://schemas.openxmlformats.org/officeDocument/2006/relationships/pivotTable" Target="../pivotTables/pivotTable17.xml"/><Relationship Id="rId25" Type="http://schemas.openxmlformats.org/officeDocument/2006/relationships/pivotTable" Target="../pivotTables/pivotTable25.xml"/><Relationship Id="rId33" Type="http://schemas.openxmlformats.org/officeDocument/2006/relationships/pivotTable" Target="../pivotTables/pivotTable33.xml"/><Relationship Id="rId2" Type="http://schemas.openxmlformats.org/officeDocument/2006/relationships/pivotTable" Target="../pivotTables/pivotTable2.xml"/><Relationship Id="rId16" Type="http://schemas.openxmlformats.org/officeDocument/2006/relationships/pivotTable" Target="../pivotTables/pivotTable16.xml"/><Relationship Id="rId20" Type="http://schemas.openxmlformats.org/officeDocument/2006/relationships/pivotTable" Target="../pivotTables/pivotTable20.xml"/><Relationship Id="rId29" Type="http://schemas.openxmlformats.org/officeDocument/2006/relationships/pivotTable" Target="../pivotTables/pivotTable29.xml"/><Relationship Id="rId1" Type="http://schemas.openxmlformats.org/officeDocument/2006/relationships/pivotTable" Target="../pivotTables/pivotTable1.xml"/><Relationship Id="rId6" Type="http://schemas.openxmlformats.org/officeDocument/2006/relationships/pivotTable" Target="../pivotTables/pivotTable6.xml"/><Relationship Id="rId11" Type="http://schemas.openxmlformats.org/officeDocument/2006/relationships/pivotTable" Target="../pivotTables/pivotTable11.xml"/><Relationship Id="rId24" Type="http://schemas.openxmlformats.org/officeDocument/2006/relationships/pivotTable" Target="../pivotTables/pivotTable24.xml"/><Relationship Id="rId32" Type="http://schemas.openxmlformats.org/officeDocument/2006/relationships/pivotTable" Target="../pivotTables/pivotTable32.xml"/><Relationship Id="rId5" Type="http://schemas.openxmlformats.org/officeDocument/2006/relationships/pivotTable" Target="../pivotTables/pivotTable5.xml"/><Relationship Id="rId15" Type="http://schemas.openxmlformats.org/officeDocument/2006/relationships/pivotTable" Target="../pivotTables/pivotTable15.xml"/><Relationship Id="rId23" Type="http://schemas.openxmlformats.org/officeDocument/2006/relationships/pivotTable" Target="../pivotTables/pivotTable23.xml"/><Relationship Id="rId28" Type="http://schemas.openxmlformats.org/officeDocument/2006/relationships/pivotTable" Target="../pivotTables/pivotTable28.xml"/><Relationship Id="rId36" Type="http://schemas.openxmlformats.org/officeDocument/2006/relationships/drawing" Target="../drawings/drawing2.xml"/><Relationship Id="rId10" Type="http://schemas.openxmlformats.org/officeDocument/2006/relationships/pivotTable" Target="../pivotTables/pivotTable10.xml"/><Relationship Id="rId19" Type="http://schemas.openxmlformats.org/officeDocument/2006/relationships/pivotTable" Target="../pivotTables/pivotTable19.xml"/><Relationship Id="rId31" Type="http://schemas.openxmlformats.org/officeDocument/2006/relationships/pivotTable" Target="../pivotTables/pivotTable31.xml"/><Relationship Id="rId4" Type="http://schemas.openxmlformats.org/officeDocument/2006/relationships/pivotTable" Target="../pivotTables/pivotTable4.xml"/><Relationship Id="rId9" Type="http://schemas.openxmlformats.org/officeDocument/2006/relationships/pivotTable" Target="../pivotTables/pivotTable9.xml"/><Relationship Id="rId14" Type="http://schemas.openxmlformats.org/officeDocument/2006/relationships/pivotTable" Target="../pivotTables/pivotTable14.xml"/><Relationship Id="rId22" Type="http://schemas.openxmlformats.org/officeDocument/2006/relationships/pivotTable" Target="../pivotTables/pivotTable22.xml"/><Relationship Id="rId27" Type="http://schemas.openxmlformats.org/officeDocument/2006/relationships/pivotTable" Target="../pivotTables/pivotTable27.xml"/><Relationship Id="rId30" Type="http://schemas.openxmlformats.org/officeDocument/2006/relationships/pivotTable" Target="../pivotTables/pivotTable30.xml"/><Relationship Id="rId35"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4628F1-2FF0-4D15-9E01-628E3EB34D95}">
  <sheetPr>
    <tabColor rgb="FF92D050"/>
    <outlinePr summaryBelow="0" summaryRight="0"/>
  </sheetPr>
  <dimension ref="A2:H89"/>
  <sheetViews>
    <sheetView tabSelected="1" zoomScale="50" zoomScaleNormal="50" workbookViewId="0">
      <selection activeCell="Q25" sqref="Q25"/>
    </sheetView>
  </sheetViews>
  <sheetFormatPr defaultColWidth="14.46484375" defaultRowHeight="15.75" customHeight="1"/>
  <cols>
    <col min="1" max="1" width="48.46484375" bestFit="1" customWidth="1"/>
    <col min="2" max="2" width="27.9296875" bestFit="1" customWidth="1"/>
    <col min="3" max="3" width="19.6640625" bestFit="1" customWidth="1"/>
  </cols>
  <sheetData>
    <row r="2" spans="1:8" ht="15.75" customHeight="1">
      <c r="A2" s="183" t="s">
        <v>267</v>
      </c>
    </row>
    <row r="3" spans="1:8" ht="15.75" customHeight="1">
      <c r="A3" s="184" t="s">
        <v>281</v>
      </c>
    </row>
    <row r="4" spans="1:8" ht="12.75"/>
    <row r="5" spans="1:8" ht="12.75"/>
    <row r="6" spans="1:8" ht="76.5">
      <c r="A6" s="317" t="s">
        <v>508</v>
      </c>
    </row>
    <row r="7" spans="1:8" ht="12.75"/>
    <row r="8" spans="1:8" ht="102">
      <c r="A8" s="317" t="s">
        <v>510</v>
      </c>
    </row>
    <row r="9" spans="1:8" ht="12.75"/>
    <row r="10" spans="1:8" ht="76.5">
      <c r="A10" s="317" t="s">
        <v>509</v>
      </c>
    </row>
    <row r="11" spans="1:8" ht="12.75">
      <c r="A11" s="203"/>
      <c r="B11" s="203"/>
      <c r="C11" s="203"/>
      <c r="D11" s="203"/>
      <c r="E11" s="203"/>
      <c r="F11" s="203"/>
      <c r="G11" s="203"/>
      <c r="H11" s="203"/>
    </row>
    <row r="12" spans="1:8" ht="12.75">
      <c r="A12" s="186"/>
      <c r="B12" s="186"/>
      <c r="C12" s="186"/>
      <c r="D12" s="186"/>
      <c r="E12" s="186"/>
      <c r="F12" s="186"/>
      <c r="G12" s="186"/>
      <c r="H12" s="186"/>
    </row>
    <row r="13" spans="1:8" ht="13.15">
      <c r="B13" s="201" t="s">
        <v>268</v>
      </c>
      <c r="C13" s="185" t="s">
        <v>275</v>
      </c>
    </row>
    <row r="14" spans="1:8" ht="13.15">
      <c r="A14" s="180" t="s">
        <v>269</v>
      </c>
      <c r="B14" s="202" t="s">
        <v>266</v>
      </c>
      <c r="C14" s="176" t="s">
        <v>270</v>
      </c>
    </row>
    <row r="15" spans="1:8" ht="13.15">
      <c r="A15" s="180"/>
      <c r="B15" s="202"/>
      <c r="C15" s="176" t="s">
        <v>442</v>
      </c>
    </row>
    <row r="16" spans="1:8" ht="12.75">
      <c r="B16" s="203"/>
      <c r="C16" s="176" t="s">
        <v>443</v>
      </c>
    </row>
    <row r="17" spans="2:3" ht="12.75">
      <c r="B17" s="203"/>
      <c r="C17" s="176" t="s">
        <v>444</v>
      </c>
    </row>
    <row r="18" spans="2:3" ht="15.75" customHeight="1">
      <c r="B18" s="203"/>
    </row>
    <row r="19" spans="2:3" ht="15.75" customHeight="1">
      <c r="B19" s="202" t="s">
        <v>306</v>
      </c>
      <c r="C19" s="176" t="s">
        <v>332</v>
      </c>
    </row>
    <row r="20" spans="2:3" ht="12.75">
      <c r="B20" s="203"/>
      <c r="C20" s="176" t="s">
        <v>327</v>
      </c>
    </row>
    <row r="21" spans="2:3" ht="12.75">
      <c r="B21" s="203"/>
    </row>
    <row r="22" spans="2:3" ht="12.75">
      <c r="B22" s="202" t="s">
        <v>271</v>
      </c>
      <c r="C22" s="176" t="s">
        <v>303</v>
      </c>
    </row>
    <row r="23" spans="2:3" ht="12.75">
      <c r="B23" s="203"/>
    </row>
    <row r="24" spans="2:3" ht="12.75">
      <c r="B24" s="202" t="s">
        <v>272</v>
      </c>
      <c r="C24" s="176" t="s">
        <v>302</v>
      </c>
    </row>
    <row r="25" spans="2:3" ht="12.75">
      <c r="B25" s="203"/>
    </row>
    <row r="26" spans="2:3" ht="12.75">
      <c r="B26" s="202" t="s">
        <v>273</v>
      </c>
      <c r="C26" s="176" t="s">
        <v>301</v>
      </c>
    </row>
    <row r="27" spans="2:3" ht="12.75">
      <c r="B27" s="203"/>
    </row>
    <row r="28" spans="2:3" ht="12.75">
      <c r="B28" s="202" t="s">
        <v>274</v>
      </c>
      <c r="C28" s="176" t="s">
        <v>300</v>
      </c>
    </row>
    <row r="29" spans="2:3" ht="12.75">
      <c r="B29" s="203"/>
    </row>
    <row r="30" spans="2:3" ht="12.75">
      <c r="B30" s="202" t="s">
        <v>276</v>
      </c>
      <c r="C30" s="176" t="s">
        <v>490</v>
      </c>
    </row>
    <row r="31" spans="2:3" ht="12.75">
      <c r="B31" s="203"/>
    </row>
    <row r="32" spans="2:3" ht="12.75">
      <c r="B32" s="202" t="s">
        <v>277</v>
      </c>
      <c r="C32" s="176" t="s">
        <v>298</v>
      </c>
    </row>
    <row r="33" spans="1:8" ht="12.75">
      <c r="B33" s="203"/>
    </row>
    <row r="34" spans="1:8" ht="12.75">
      <c r="B34" s="202" t="s">
        <v>278</v>
      </c>
      <c r="C34" s="176" t="s">
        <v>297</v>
      </c>
    </row>
    <row r="35" spans="1:8" ht="12.75">
      <c r="B35" s="203"/>
    </row>
    <row r="36" spans="1:8" ht="12.75">
      <c r="B36" s="202" t="s">
        <v>279</v>
      </c>
      <c r="C36" s="176" t="s">
        <v>296</v>
      </c>
    </row>
    <row r="37" spans="1:8" ht="12.75">
      <c r="B37" s="203"/>
    </row>
    <row r="38" spans="1:8" ht="12.75">
      <c r="B38" s="202" t="s">
        <v>280</v>
      </c>
      <c r="C38" s="176" t="s">
        <v>295</v>
      </c>
    </row>
    <row r="39" spans="1:8" ht="12.75">
      <c r="B39" s="203"/>
    </row>
    <row r="40" spans="1:8" ht="12.75">
      <c r="B40" s="202" t="s">
        <v>350</v>
      </c>
      <c r="C40" s="176" t="s">
        <v>331</v>
      </c>
    </row>
    <row r="41" spans="1:8" ht="12.75">
      <c r="B41" s="203"/>
    </row>
    <row r="42" spans="1:8" ht="12.75">
      <c r="B42" s="202" t="s">
        <v>322</v>
      </c>
      <c r="C42" s="176" t="s">
        <v>362</v>
      </c>
    </row>
    <row r="43" spans="1:8" ht="12.75">
      <c r="A43" s="186"/>
      <c r="B43" s="186"/>
      <c r="C43" s="186"/>
      <c r="D43" s="186"/>
      <c r="E43" s="186"/>
      <c r="F43" s="186"/>
      <c r="G43" s="186"/>
      <c r="H43" s="186"/>
    </row>
    <row r="44" spans="1:8" ht="12.75"/>
    <row r="45" spans="1:8" ht="13.15">
      <c r="A45" s="180" t="s">
        <v>270</v>
      </c>
      <c r="B45" s="176" t="s">
        <v>5</v>
      </c>
      <c r="C45" s="176" t="s">
        <v>284</v>
      </c>
    </row>
    <row r="46" spans="1:8" ht="12.75">
      <c r="B46" s="176" t="s">
        <v>282</v>
      </c>
      <c r="C46" s="176" t="s">
        <v>285</v>
      </c>
    </row>
    <row r="47" spans="1:8" ht="12.75">
      <c r="A47" s="176"/>
      <c r="B47" s="176" t="s">
        <v>8</v>
      </c>
      <c r="C47" s="176" t="s">
        <v>286</v>
      </c>
    </row>
    <row r="48" spans="1:8" ht="12.75">
      <c r="A48" s="176"/>
      <c r="B48" s="176" t="s">
        <v>10</v>
      </c>
      <c r="C48" s="176" t="s">
        <v>287</v>
      </c>
    </row>
    <row r="49" spans="1:8" ht="12.75">
      <c r="B49" s="176" t="s">
        <v>11</v>
      </c>
      <c r="C49" s="176" t="s">
        <v>293</v>
      </c>
    </row>
    <row r="50" spans="1:8" ht="12.75">
      <c r="B50" s="176" t="s">
        <v>6</v>
      </c>
      <c r="C50" s="176" t="s">
        <v>292</v>
      </c>
    </row>
    <row r="51" spans="1:8" ht="12.75">
      <c r="B51" s="176" t="s">
        <v>263</v>
      </c>
      <c r="C51" s="176" t="s">
        <v>291</v>
      </c>
    </row>
    <row r="52" spans="1:8" ht="15.75" customHeight="1">
      <c r="B52" s="176" t="s">
        <v>13</v>
      </c>
      <c r="C52" s="176" t="s">
        <v>288</v>
      </c>
    </row>
    <row r="53" spans="1:8" ht="15.75" customHeight="1">
      <c r="B53" s="176" t="s">
        <v>283</v>
      </c>
      <c r="C53" s="176" t="s">
        <v>289</v>
      </c>
    </row>
    <row r="54" spans="1:8" ht="15.75" customHeight="1">
      <c r="B54" s="176" t="s">
        <v>283</v>
      </c>
      <c r="C54" s="176" t="s">
        <v>290</v>
      </c>
    </row>
    <row r="55" spans="1:8" ht="15.75" customHeight="1">
      <c r="B55" s="176" t="s">
        <v>283</v>
      </c>
      <c r="C55" s="176" t="s">
        <v>294</v>
      </c>
    </row>
    <row r="56" spans="1:8" ht="15.75" customHeight="1">
      <c r="A56" s="176"/>
    </row>
    <row r="57" spans="1:8" ht="15.75" customHeight="1">
      <c r="A57" s="186"/>
      <c r="B57" s="186"/>
      <c r="C57" s="186"/>
      <c r="D57" s="186"/>
      <c r="E57" s="186"/>
      <c r="F57" s="186"/>
      <c r="G57" s="186"/>
      <c r="H57" s="186"/>
    </row>
    <row r="59" spans="1:8" ht="13.15">
      <c r="A59" s="187" t="s">
        <v>445</v>
      </c>
      <c r="B59" s="306" t="s">
        <v>446</v>
      </c>
    </row>
    <row r="60" spans="1:8" ht="15.75" customHeight="1">
      <c r="B60" s="306" t="s">
        <v>447</v>
      </c>
      <c r="E60" s="305"/>
    </row>
    <row r="61" spans="1:8" ht="15.75" customHeight="1">
      <c r="B61" s="306" t="s">
        <v>448</v>
      </c>
    </row>
    <row r="62" spans="1:8" ht="15.75" customHeight="1">
      <c r="B62" s="306" t="s">
        <v>449</v>
      </c>
    </row>
    <row r="63" spans="1:8" ht="15.75" customHeight="1">
      <c r="B63" s="306" t="s">
        <v>450</v>
      </c>
    </row>
    <row r="64" spans="1:8" ht="15.75" customHeight="1">
      <c r="B64" s="306" t="s">
        <v>451</v>
      </c>
    </row>
    <row r="65" spans="1:8" ht="15.75" customHeight="1">
      <c r="B65" s="306" t="s">
        <v>452</v>
      </c>
    </row>
    <row r="66" spans="1:8" ht="15.75" customHeight="1">
      <c r="B66" s="306" t="s">
        <v>453</v>
      </c>
    </row>
    <row r="67" spans="1:8" ht="15.75" customHeight="1">
      <c r="B67" s="306" t="s">
        <v>454</v>
      </c>
    </row>
    <row r="68" spans="1:8" ht="15.75" customHeight="1">
      <c r="B68" s="306" t="s">
        <v>455</v>
      </c>
    </row>
    <row r="69" spans="1:8" ht="15.75" customHeight="1">
      <c r="B69" s="306" t="s">
        <v>456</v>
      </c>
    </row>
    <row r="70" spans="1:8" ht="15.75" customHeight="1">
      <c r="B70" s="306" t="s">
        <v>457</v>
      </c>
    </row>
    <row r="71" spans="1:8" ht="15.75" customHeight="1">
      <c r="B71" s="306" t="s">
        <v>458</v>
      </c>
    </row>
    <row r="72" spans="1:8" ht="15.75" customHeight="1">
      <c r="B72" s="306" t="s">
        <v>459</v>
      </c>
    </row>
    <row r="73" spans="1:8" ht="15.75" customHeight="1">
      <c r="B73" s="306" t="s">
        <v>460</v>
      </c>
    </row>
    <row r="74" spans="1:8" ht="15.75" customHeight="1">
      <c r="B74" s="306" t="s">
        <v>461</v>
      </c>
    </row>
    <row r="75" spans="1:8" ht="15.75" customHeight="1">
      <c r="A75" s="186"/>
      <c r="B75" s="186"/>
      <c r="C75" s="186"/>
      <c r="D75" s="186"/>
      <c r="E75" s="186"/>
      <c r="F75" s="186"/>
      <c r="G75" s="186"/>
      <c r="H75" s="186"/>
    </row>
    <row r="76" spans="1:8" ht="65" customHeight="1">
      <c r="A76" s="307" t="s">
        <v>443</v>
      </c>
      <c r="B76" s="332" t="s">
        <v>462</v>
      </c>
      <c r="C76" s="332"/>
      <c r="D76" s="332"/>
      <c r="E76" s="332"/>
    </row>
    <row r="77" spans="1:8" ht="185" customHeight="1">
      <c r="B77" s="331" t="s">
        <v>463</v>
      </c>
      <c r="C77" s="331"/>
      <c r="D77" s="331"/>
      <c r="E77" s="331"/>
    </row>
    <row r="78" spans="1:8" ht="150" customHeight="1">
      <c r="B78" s="331" t="s">
        <v>464</v>
      </c>
      <c r="C78" s="330"/>
      <c r="D78" s="330"/>
      <c r="E78" s="330"/>
    </row>
    <row r="79" spans="1:8" ht="330" customHeight="1">
      <c r="B79" s="331" t="s">
        <v>518</v>
      </c>
      <c r="C79" s="331"/>
      <c r="D79" s="331"/>
      <c r="E79" s="331"/>
    </row>
    <row r="80" spans="1:8" ht="55.05" customHeight="1">
      <c r="B80" s="331" t="s">
        <v>465</v>
      </c>
      <c r="C80" s="331"/>
      <c r="D80" s="331"/>
      <c r="E80" s="331"/>
    </row>
    <row r="81" spans="1:8" ht="15.75" customHeight="1">
      <c r="A81" s="186"/>
      <c r="B81" s="186"/>
      <c r="C81" s="186"/>
      <c r="D81" s="186"/>
      <c r="E81" s="186"/>
      <c r="F81" s="186"/>
      <c r="G81" s="186"/>
      <c r="H81" s="186"/>
    </row>
    <row r="82" spans="1:8" ht="110" customHeight="1">
      <c r="A82" s="309" t="s">
        <v>444</v>
      </c>
      <c r="B82" s="308" t="s">
        <v>466</v>
      </c>
      <c r="C82" s="328" t="s">
        <v>475</v>
      </c>
      <c r="D82" s="328"/>
      <c r="E82" s="328"/>
      <c r="F82" s="328"/>
      <c r="G82" s="328"/>
      <c r="H82" s="328"/>
    </row>
    <row r="83" spans="1:8" ht="140" customHeight="1">
      <c r="B83" s="308" t="s">
        <v>467</v>
      </c>
      <c r="C83" s="329" t="s">
        <v>506</v>
      </c>
      <c r="D83" s="330"/>
      <c r="E83" s="330"/>
      <c r="F83" s="330"/>
      <c r="G83" s="330"/>
      <c r="H83" s="330"/>
    </row>
    <row r="84" spans="1:8" ht="240" customHeight="1">
      <c r="B84" s="308" t="s">
        <v>468</v>
      </c>
      <c r="C84" s="331" t="s">
        <v>478</v>
      </c>
      <c r="D84" s="330"/>
      <c r="E84" s="330"/>
      <c r="F84" s="330"/>
      <c r="G84" s="330"/>
      <c r="H84" s="330"/>
    </row>
    <row r="85" spans="1:8" ht="145.05000000000001" customHeight="1">
      <c r="B85" s="308" t="s">
        <v>469</v>
      </c>
      <c r="C85" s="331" t="s">
        <v>474</v>
      </c>
      <c r="D85" s="330"/>
      <c r="E85" s="330"/>
      <c r="F85" s="330"/>
      <c r="G85" s="330"/>
      <c r="H85" s="330"/>
    </row>
    <row r="86" spans="1:8" ht="145.05000000000001" customHeight="1">
      <c r="B86" s="308" t="s">
        <v>470</v>
      </c>
      <c r="C86" s="331" t="s">
        <v>477</v>
      </c>
      <c r="D86" s="330"/>
      <c r="E86" s="330"/>
      <c r="F86" s="330"/>
      <c r="G86" s="330"/>
      <c r="H86" s="330"/>
    </row>
    <row r="87" spans="1:8" ht="145.05000000000001" customHeight="1">
      <c r="B87" s="308" t="s">
        <v>471</v>
      </c>
      <c r="C87" s="331" t="s">
        <v>479</v>
      </c>
      <c r="D87" s="330"/>
      <c r="E87" s="330"/>
      <c r="F87" s="330"/>
      <c r="G87" s="330"/>
      <c r="H87" s="330"/>
    </row>
    <row r="88" spans="1:8" ht="45" customHeight="1">
      <c r="B88" s="308" t="s">
        <v>472</v>
      </c>
      <c r="C88" s="329" t="s">
        <v>507</v>
      </c>
      <c r="D88" s="330"/>
      <c r="E88" s="330"/>
      <c r="F88" s="330"/>
      <c r="G88" s="330"/>
      <c r="H88" s="330"/>
    </row>
    <row r="89" spans="1:8" ht="145.05000000000001" customHeight="1">
      <c r="B89" s="308" t="s">
        <v>473</v>
      </c>
      <c r="C89" s="331" t="s">
        <v>476</v>
      </c>
      <c r="D89" s="330"/>
      <c r="E89" s="330"/>
      <c r="F89" s="330"/>
      <c r="G89" s="330"/>
      <c r="H89" s="330"/>
    </row>
  </sheetData>
  <mergeCells count="13">
    <mergeCell ref="C86:H86"/>
    <mergeCell ref="C85:H85"/>
    <mergeCell ref="C87:H87"/>
    <mergeCell ref="C88:H88"/>
    <mergeCell ref="C89:H89"/>
    <mergeCell ref="C82:H82"/>
    <mergeCell ref="C83:H83"/>
    <mergeCell ref="C84:H84"/>
    <mergeCell ref="B76:E76"/>
    <mergeCell ref="B77:E77"/>
    <mergeCell ref="B78:E78"/>
    <mergeCell ref="B79:E79"/>
    <mergeCell ref="B80:E80"/>
  </mergeCells>
  <pageMargins left="0.7" right="0.7" top="0.75" bottom="0.75" header="0.3" footer="0.3"/>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3C47D"/>
    <outlinePr summaryBelow="0" summaryRight="0"/>
  </sheetPr>
  <dimension ref="A1:H25"/>
  <sheetViews>
    <sheetView zoomScale="80" zoomScaleNormal="80" workbookViewId="0">
      <selection activeCell="B15" sqref="B15"/>
    </sheetView>
  </sheetViews>
  <sheetFormatPr defaultColWidth="14.46484375" defaultRowHeight="15.75" customHeight="1"/>
  <cols>
    <col min="1" max="1" width="49.265625" bestFit="1" customWidth="1"/>
    <col min="2" max="2" width="45.59765625" customWidth="1"/>
    <col min="3" max="3" width="17" bestFit="1" customWidth="1"/>
    <col min="4" max="4" width="80.59765625" customWidth="1"/>
  </cols>
  <sheetData>
    <row r="1" spans="1:8" ht="24.75">
      <c r="A1" s="210" t="s">
        <v>296</v>
      </c>
    </row>
    <row r="2" spans="1:8" ht="25.15">
      <c r="A2" s="211" t="s">
        <v>333</v>
      </c>
    </row>
    <row r="3" spans="1:8" ht="13.5">
      <c r="A3" s="190" t="s">
        <v>324</v>
      </c>
    </row>
    <row r="4" spans="1:8" ht="12.75"/>
    <row r="5" spans="1:8" ht="12.75"/>
    <row r="6" spans="1:8" ht="21">
      <c r="A6" s="76"/>
      <c r="B6" s="77" t="s">
        <v>0</v>
      </c>
      <c r="C6" s="99"/>
      <c r="D6" s="99"/>
    </row>
    <row r="7" spans="1:8" ht="14.25">
      <c r="A7" s="197" t="s">
        <v>110</v>
      </c>
      <c r="B7" s="78" t="s">
        <v>113</v>
      </c>
      <c r="C7" s="78" t="s">
        <v>2</v>
      </c>
      <c r="D7" s="78" t="s">
        <v>26</v>
      </c>
    </row>
    <row r="8" spans="1:8" ht="14.25">
      <c r="A8" s="84" t="s">
        <v>334</v>
      </c>
      <c r="B8" s="134" t="s">
        <v>341</v>
      </c>
      <c r="C8" s="135">
        <v>35000</v>
      </c>
      <c r="D8" s="86"/>
    </row>
    <row r="9" spans="1:8" ht="14.25">
      <c r="A9" s="84" t="s">
        <v>335</v>
      </c>
      <c r="B9" s="134" t="s">
        <v>341</v>
      </c>
      <c r="C9" s="100">
        <v>8500</v>
      </c>
      <c r="D9" s="86"/>
    </row>
    <row r="10" spans="1:8" ht="14.25">
      <c r="A10" s="84" t="s">
        <v>336</v>
      </c>
      <c r="B10" s="86" t="s">
        <v>341</v>
      </c>
      <c r="C10" s="100">
        <v>110000</v>
      </c>
      <c r="D10" s="86"/>
    </row>
    <row r="11" spans="1:8" ht="15.75" customHeight="1">
      <c r="A11" s="99"/>
      <c r="B11" s="136" t="s">
        <v>4</v>
      </c>
      <c r="C11" s="137">
        <f>SUM(C8:C10)</f>
        <v>153500</v>
      </c>
      <c r="D11" s="102"/>
      <c r="H11">
        <f>550*110+65*500-(12*110)</f>
        <v>91680</v>
      </c>
    </row>
    <row r="12" spans="1:8" ht="21">
      <c r="A12" s="80"/>
      <c r="B12" s="81" t="s">
        <v>7</v>
      </c>
      <c r="C12" s="104"/>
      <c r="D12" s="104"/>
    </row>
    <row r="13" spans="1:8" ht="14.25">
      <c r="A13" s="196" t="s">
        <v>110</v>
      </c>
      <c r="B13" s="83" t="s">
        <v>113</v>
      </c>
      <c r="C13" s="83" t="s">
        <v>2</v>
      </c>
      <c r="D13" s="83" t="s">
        <v>26</v>
      </c>
    </row>
    <row r="14" spans="1:8" ht="14.25">
      <c r="A14" s="84" t="s">
        <v>334</v>
      </c>
      <c r="B14" s="324" t="s">
        <v>245</v>
      </c>
      <c r="C14" s="107">
        <v>4000</v>
      </c>
      <c r="D14" s="86"/>
    </row>
    <row r="15" spans="1:8" ht="14.25">
      <c r="A15" s="84" t="s">
        <v>334</v>
      </c>
      <c r="B15" s="325" t="s">
        <v>148</v>
      </c>
      <c r="C15" s="214">
        <v>31000</v>
      </c>
      <c r="D15" s="86"/>
    </row>
    <row r="16" spans="1:8" ht="14.25">
      <c r="A16" s="84" t="s">
        <v>335</v>
      </c>
      <c r="B16" s="87" t="s">
        <v>132</v>
      </c>
      <c r="C16" s="116">
        <v>7000</v>
      </c>
      <c r="D16" s="86"/>
    </row>
    <row r="17" spans="1:4" ht="14.25">
      <c r="A17" s="84" t="s">
        <v>336</v>
      </c>
      <c r="B17" s="87" t="s">
        <v>245</v>
      </c>
      <c r="C17" s="116">
        <v>5000</v>
      </c>
      <c r="D17" s="86"/>
    </row>
    <row r="18" spans="1:4" ht="14.25">
      <c r="A18" s="84" t="s">
        <v>336</v>
      </c>
      <c r="B18" s="326" t="s">
        <v>164</v>
      </c>
      <c r="C18" s="222">
        <v>5000</v>
      </c>
      <c r="D18" s="122"/>
    </row>
    <row r="19" spans="1:4" ht="14.25">
      <c r="A19" s="84" t="s">
        <v>336</v>
      </c>
      <c r="B19" s="326" t="s">
        <v>132</v>
      </c>
      <c r="C19" s="222">
        <v>85000</v>
      </c>
      <c r="D19" s="122"/>
    </row>
    <row r="20" spans="1:4" ht="14.25">
      <c r="A20" s="121" t="s">
        <v>336</v>
      </c>
      <c r="B20" s="327" t="s">
        <v>217</v>
      </c>
      <c r="C20" s="223">
        <v>2000</v>
      </c>
      <c r="D20" s="124" t="s">
        <v>342</v>
      </c>
    </row>
    <row r="21" spans="1:4" ht="14.25">
      <c r="A21" s="84"/>
      <c r="B21" s="86"/>
      <c r="C21" s="100"/>
      <c r="D21" s="86"/>
    </row>
    <row r="22" spans="1:4" ht="13.15">
      <c r="A22" s="110"/>
      <c r="B22" s="111" t="s">
        <v>15</v>
      </c>
      <c r="C22" s="112">
        <f>SUM(C14:C21)</f>
        <v>139000</v>
      </c>
      <c r="D22" s="111"/>
    </row>
    <row r="23" spans="1:4" ht="21">
      <c r="A23" s="113"/>
      <c r="B23" s="93" t="s">
        <v>17</v>
      </c>
      <c r="C23" s="114">
        <f>C11-C22</f>
        <v>14500</v>
      </c>
      <c r="D23" s="115"/>
    </row>
    <row r="24" spans="1:4" ht="12.75"/>
    <row r="25" spans="1:4" ht="12.75">
      <c r="A25" s="176" t="s">
        <v>338</v>
      </c>
      <c r="B25" s="176" t="s">
        <v>481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outlinePr summaryBelow="0" summaryRight="0"/>
  </sheetPr>
  <dimension ref="A1:J140"/>
  <sheetViews>
    <sheetView zoomScale="80" zoomScaleNormal="80" workbookViewId="0">
      <selection activeCell="I12" sqref="I12"/>
    </sheetView>
  </sheetViews>
  <sheetFormatPr defaultColWidth="14.46484375" defaultRowHeight="15.75" customHeight="1"/>
  <cols>
    <col min="1" max="1" width="50.86328125" bestFit="1" customWidth="1"/>
    <col min="2" max="2" width="14.46484375" bestFit="1" customWidth="1"/>
    <col min="3" max="3" width="35.86328125" bestFit="1" customWidth="1"/>
    <col min="5" max="6" width="32.6640625" bestFit="1" customWidth="1"/>
    <col min="8" max="9" width="6.73046875" bestFit="1" customWidth="1"/>
  </cols>
  <sheetData>
    <row r="1" spans="1:10" ht="21">
      <c r="A1" s="21" t="s">
        <v>295</v>
      </c>
      <c r="B1" s="22"/>
      <c r="C1" s="22"/>
      <c r="D1" s="22"/>
      <c r="E1" s="22"/>
      <c r="F1" s="22"/>
      <c r="G1" s="22"/>
      <c r="H1" s="22"/>
      <c r="I1" s="22"/>
    </row>
    <row r="2" spans="1:10" ht="12.75">
      <c r="A2" s="23" t="s">
        <v>23</v>
      </c>
      <c r="B2" s="22"/>
      <c r="C2" s="22"/>
      <c r="D2" s="22"/>
      <c r="E2" s="22"/>
      <c r="F2" s="22"/>
      <c r="G2" s="22"/>
      <c r="H2" s="22"/>
      <c r="I2" s="22"/>
    </row>
    <row r="3" spans="1:10" ht="12.75">
      <c r="A3" s="22"/>
      <c r="B3" s="22"/>
      <c r="C3" s="22"/>
      <c r="D3" s="22"/>
      <c r="E3" s="22"/>
      <c r="F3" s="22"/>
      <c r="G3" s="22"/>
      <c r="H3" s="22"/>
      <c r="I3" s="22"/>
    </row>
    <row r="4" spans="1:10" ht="12.75">
      <c r="A4" s="22"/>
      <c r="B4" s="22"/>
      <c r="C4" s="22"/>
      <c r="D4" s="22"/>
      <c r="E4" s="22"/>
      <c r="F4" s="22"/>
      <c r="G4" s="22"/>
      <c r="H4" s="22"/>
      <c r="I4" s="22"/>
    </row>
    <row r="5" spans="1:10" ht="15.75" customHeight="1">
      <c r="A5" s="22"/>
      <c r="B5" s="22"/>
      <c r="C5" s="22"/>
      <c r="D5" s="22"/>
      <c r="E5" s="22"/>
      <c r="H5" s="22"/>
      <c r="I5" s="22"/>
    </row>
    <row r="6" spans="1:10" ht="21">
      <c r="A6" s="24" t="s">
        <v>24</v>
      </c>
      <c r="B6" s="25" t="s">
        <v>25</v>
      </c>
      <c r="C6" s="26" t="s">
        <v>26</v>
      </c>
      <c r="D6" s="22"/>
      <c r="E6" s="27" t="s">
        <v>27</v>
      </c>
      <c r="F6" s="186"/>
      <c r="G6" s="28"/>
      <c r="H6" s="22"/>
      <c r="I6" s="29" t="s">
        <v>28</v>
      </c>
      <c r="J6" s="22" t="s">
        <v>29</v>
      </c>
    </row>
    <row r="7" spans="1:10" ht="14.25">
      <c r="A7" s="30" t="s">
        <v>30</v>
      </c>
      <c r="B7" s="31"/>
      <c r="C7" s="32"/>
      <c r="D7" s="22"/>
      <c r="E7" s="30" t="s">
        <v>31</v>
      </c>
      <c r="G7" s="22"/>
      <c r="H7" s="22"/>
      <c r="I7" s="33"/>
      <c r="J7" s="204" t="s">
        <v>328</v>
      </c>
    </row>
    <row r="8" spans="1:10" ht="12.75">
      <c r="A8" s="34" t="s">
        <v>32</v>
      </c>
      <c r="B8" s="35">
        <f>(275*2)+(150)+50+50+50+50</f>
        <v>900</v>
      </c>
      <c r="C8" s="32"/>
      <c r="D8" s="22"/>
      <c r="H8" s="22"/>
      <c r="I8" s="33"/>
      <c r="J8" s="22" t="s">
        <v>34</v>
      </c>
    </row>
    <row r="9" spans="1:10" ht="12.75">
      <c r="A9" s="34" t="s">
        <v>35</v>
      </c>
      <c r="B9" s="35">
        <f>675+150+40+40</f>
        <v>905</v>
      </c>
      <c r="C9" s="32"/>
      <c r="D9" s="22"/>
      <c r="E9" s="230" t="s">
        <v>325</v>
      </c>
      <c r="F9" s="230" t="s">
        <v>111</v>
      </c>
      <c r="G9" s="176" t="s">
        <v>12</v>
      </c>
      <c r="H9" s="22"/>
      <c r="I9" s="33"/>
      <c r="J9" s="204" t="s">
        <v>329</v>
      </c>
    </row>
    <row r="10" spans="1:10" ht="12.75">
      <c r="A10" s="34" t="s">
        <v>37</v>
      </c>
      <c r="B10" s="35">
        <v>300</v>
      </c>
      <c r="C10" s="32"/>
      <c r="D10" s="22"/>
      <c r="E10" s="226" t="s">
        <v>343</v>
      </c>
      <c r="F10" s="227" t="s">
        <v>33</v>
      </c>
      <c r="G10" s="228">
        <f>G23</f>
        <v>59058</v>
      </c>
      <c r="H10" s="22"/>
      <c r="I10" s="33"/>
      <c r="J10" s="206" t="s">
        <v>330</v>
      </c>
    </row>
    <row r="11" spans="1:10" ht="12.75">
      <c r="A11" s="34" t="s">
        <v>16</v>
      </c>
      <c r="B11" s="35">
        <v>300</v>
      </c>
      <c r="C11" s="32"/>
      <c r="D11" s="22"/>
      <c r="E11" s="226" t="s">
        <v>344</v>
      </c>
      <c r="F11" s="227" t="s">
        <v>36</v>
      </c>
      <c r="G11" s="228">
        <f>G30-(G27*15)</f>
        <v>105435</v>
      </c>
      <c r="H11" s="22"/>
      <c r="I11" s="314"/>
      <c r="J11" s="315" t="s">
        <v>486</v>
      </c>
    </row>
    <row r="12" spans="1:10" ht="12.75">
      <c r="A12" s="22"/>
      <c r="B12" s="31"/>
      <c r="C12" s="32"/>
      <c r="D12" s="22"/>
      <c r="E12" s="226" t="s">
        <v>344</v>
      </c>
      <c r="F12" s="227" t="s">
        <v>38</v>
      </c>
      <c r="G12" s="228">
        <f>(G27*15)</f>
        <v>6000</v>
      </c>
      <c r="H12" s="22"/>
      <c r="I12" s="314"/>
      <c r="J12" s="315" t="s">
        <v>504</v>
      </c>
    </row>
    <row r="13" spans="1:10" ht="14.25">
      <c r="A13" s="30" t="s">
        <v>40</v>
      </c>
      <c r="B13" s="36">
        <f>SUM(B8:B11)</f>
        <v>2405</v>
      </c>
      <c r="C13" s="32"/>
      <c r="D13" s="22"/>
      <c r="E13" s="226" t="s">
        <v>344</v>
      </c>
      <c r="F13" s="227" t="s">
        <v>39</v>
      </c>
      <c r="G13" s="228">
        <f>G31</f>
        <v>17155</v>
      </c>
      <c r="H13" s="22"/>
      <c r="I13" s="22"/>
      <c r="J13" s="22"/>
    </row>
    <row r="14" spans="1:10" ht="12.75">
      <c r="A14" s="22"/>
      <c r="B14" s="31"/>
      <c r="C14" s="32"/>
      <c r="D14" s="22"/>
      <c r="E14" s="73"/>
      <c r="F14" s="231"/>
      <c r="G14" s="231"/>
      <c r="H14" s="22"/>
      <c r="I14" s="22"/>
      <c r="J14" s="22"/>
    </row>
    <row r="15" spans="1:10" ht="14.25">
      <c r="A15" s="30" t="s">
        <v>42</v>
      </c>
      <c r="B15" s="31"/>
      <c r="C15" s="32"/>
      <c r="D15" s="22"/>
      <c r="F15" s="227" t="s">
        <v>41</v>
      </c>
      <c r="G15" s="229">
        <f>B24+B36+B55+B71+B89+B107+B116+B126+B140</f>
        <v>77</v>
      </c>
      <c r="H15" s="22"/>
      <c r="I15" s="22"/>
      <c r="J15" s="22"/>
    </row>
    <row r="16" spans="1:10" ht="12.75">
      <c r="A16" s="34" t="s">
        <v>505</v>
      </c>
      <c r="B16" s="37" t="s">
        <v>43</v>
      </c>
      <c r="C16" s="32"/>
      <c r="D16" s="22"/>
      <c r="F16" s="22"/>
      <c r="G16" s="22"/>
      <c r="H16" s="22"/>
      <c r="I16" s="22"/>
      <c r="J16" s="22"/>
    </row>
    <row r="17" spans="1:10" ht="15.75" customHeight="1">
      <c r="A17" s="34" t="s">
        <v>505</v>
      </c>
      <c r="B17" s="37" t="s">
        <v>43</v>
      </c>
      <c r="C17" s="32"/>
      <c r="D17" s="22"/>
      <c r="F17" s="22"/>
      <c r="G17" s="22"/>
      <c r="H17" s="22"/>
      <c r="I17" s="22"/>
      <c r="J17" s="22"/>
    </row>
    <row r="18" spans="1:10">
      <c r="A18" s="34" t="s">
        <v>505</v>
      </c>
      <c r="B18" s="37" t="s">
        <v>46</v>
      </c>
      <c r="C18" s="32"/>
      <c r="D18" s="22"/>
      <c r="E18" s="38" t="s">
        <v>44</v>
      </c>
      <c r="F18" s="199" t="s">
        <v>1</v>
      </c>
      <c r="G18" s="232" t="s">
        <v>265</v>
      </c>
      <c r="H18" s="22"/>
      <c r="I18" s="22"/>
      <c r="J18" s="22"/>
    </row>
    <row r="19" spans="1:10" ht="14.25">
      <c r="A19" s="34" t="s">
        <v>48</v>
      </c>
      <c r="B19" s="37" t="s">
        <v>49</v>
      </c>
      <c r="C19" s="32"/>
      <c r="D19" s="22"/>
      <c r="F19" s="30" t="s">
        <v>45</v>
      </c>
      <c r="G19" s="22"/>
      <c r="H19" s="22"/>
      <c r="I19" s="22"/>
      <c r="J19" s="22"/>
    </row>
    <row r="20" spans="1:10" ht="12.75">
      <c r="A20" s="22"/>
      <c r="B20" s="31"/>
      <c r="C20" s="32"/>
      <c r="D20" s="22"/>
      <c r="F20" s="22" t="s">
        <v>47</v>
      </c>
      <c r="G20" s="39">
        <f>B130</f>
        <v>2660</v>
      </c>
      <c r="H20" s="22"/>
      <c r="I20" s="22"/>
      <c r="J20" s="22"/>
    </row>
    <row r="21" spans="1:10" ht="14.25">
      <c r="A21" s="30" t="s">
        <v>52</v>
      </c>
      <c r="B21" s="41">
        <f>(9*32)+35</f>
        <v>323</v>
      </c>
      <c r="C21" s="32"/>
      <c r="D21" s="22"/>
      <c r="F21" s="22" t="s">
        <v>50</v>
      </c>
      <c r="G21" s="39">
        <f>B131</f>
        <v>816</v>
      </c>
      <c r="H21" s="22"/>
      <c r="I21" s="22"/>
      <c r="J21" s="22"/>
    </row>
    <row r="22" spans="1:10" ht="14.25">
      <c r="A22" s="30" t="s">
        <v>47</v>
      </c>
      <c r="B22" s="41">
        <f>(7*15)+(5*17)</f>
        <v>190</v>
      </c>
      <c r="C22" s="32"/>
      <c r="D22" s="22"/>
      <c r="F22" s="22" t="s">
        <v>51</v>
      </c>
      <c r="G22" s="40">
        <f>B138</f>
        <v>15200</v>
      </c>
      <c r="H22" s="22"/>
      <c r="I22" s="22"/>
      <c r="J22" s="22"/>
    </row>
    <row r="23" spans="1:10" ht="14.25">
      <c r="A23" s="30" t="s">
        <v>54</v>
      </c>
      <c r="B23" s="36">
        <f>(B21*15)+(B22*12.5)+150</f>
        <v>7370</v>
      </c>
      <c r="C23" s="32"/>
      <c r="D23" s="22"/>
      <c r="F23" s="22" t="s">
        <v>53</v>
      </c>
      <c r="G23" s="40">
        <f>(G20*12.5)+(G21*13)+G22</f>
        <v>59058</v>
      </c>
      <c r="H23" s="22"/>
      <c r="I23" s="22"/>
      <c r="J23" s="22"/>
    </row>
    <row r="24" spans="1:10" ht="14.25">
      <c r="A24" s="30" t="s">
        <v>41</v>
      </c>
      <c r="B24" s="41">
        <v>8</v>
      </c>
      <c r="C24" s="32"/>
      <c r="D24" s="22"/>
      <c r="F24" s="22"/>
      <c r="G24" s="22"/>
      <c r="H24" s="22"/>
      <c r="I24" s="22"/>
      <c r="J24" s="22"/>
    </row>
    <row r="25" spans="1:10" ht="15.75" customHeight="1">
      <c r="A25" s="22"/>
      <c r="B25" s="31"/>
      <c r="C25" s="32"/>
      <c r="D25" s="22"/>
      <c r="F25" s="30" t="s">
        <v>55</v>
      </c>
      <c r="G25" s="22"/>
      <c r="H25" s="22"/>
      <c r="I25" s="22"/>
      <c r="J25" s="22"/>
    </row>
    <row r="26" spans="1:10" ht="15.75" customHeight="1">
      <c r="A26" s="27" t="s">
        <v>57</v>
      </c>
      <c r="B26" s="42">
        <f>B23+B13</f>
        <v>9775</v>
      </c>
      <c r="C26" s="32"/>
      <c r="D26" s="22"/>
      <c r="F26" s="22" t="s">
        <v>52</v>
      </c>
      <c r="G26" s="39">
        <f>B21+B120</f>
        <v>1704</v>
      </c>
      <c r="H26" s="22"/>
      <c r="I26" s="22"/>
      <c r="J26" s="22"/>
    </row>
    <row r="27" spans="1:10" ht="15.75" customHeight="1">
      <c r="A27" s="22"/>
      <c r="B27" s="31"/>
      <c r="C27" s="32"/>
      <c r="D27" s="22"/>
      <c r="F27" s="22" t="s">
        <v>56</v>
      </c>
      <c r="G27" s="39">
        <f>B104</f>
        <v>400</v>
      </c>
      <c r="H27" s="22"/>
      <c r="I27" s="22"/>
      <c r="J27" s="22"/>
    </row>
    <row r="28" spans="1:10" ht="15.75" customHeight="1">
      <c r="A28" s="24" t="s">
        <v>58</v>
      </c>
      <c r="B28" s="43"/>
      <c r="C28" s="32"/>
      <c r="D28" s="22"/>
      <c r="F28" s="22" t="s">
        <v>47</v>
      </c>
      <c r="G28" s="39">
        <f>B22+B121+B122</f>
        <v>6390</v>
      </c>
      <c r="H28" s="22"/>
      <c r="I28" s="22"/>
      <c r="J28" s="22"/>
    </row>
    <row r="29" spans="1:10" ht="15.75" customHeight="1">
      <c r="A29" s="30" t="s">
        <v>60</v>
      </c>
      <c r="B29" s="31"/>
      <c r="C29" s="32"/>
      <c r="D29" s="22"/>
      <c r="F29" s="22"/>
      <c r="G29" s="22"/>
      <c r="H29" s="22"/>
      <c r="I29" s="22"/>
      <c r="J29" s="22"/>
    </row>
    <row r="30" spans="1:10" ht="15.75" customHeight="1">
      <c r="A30" s="34" t="s">
        <v>62</v>
      </c>
      <c r="B30" s="35">
        <v>300</v>
      </c>
      <c r="C30" s="32"/>
      <c r="D30" s="22"/>
      <c r="F30" s="22" t="s">
        <v>59</v>
      </c>
      <c r="G30" s="40">
        <f>(G26*15)+(G28*12.5)+(G27*15)</f>
        <v>111435</v>
      </c>
      <c r="H30" s="22"/>
      <c r="I30" s="22"/>
      <c r="J30" s="22"/>
    </row>
    <row r="31" spans="1:10" ht="15.75" customHeight="1">
      <c r="A31" s="34" t="s">
        <v>62</v>
      </c>
      <c r="B31" s="35">
        <v>300</v>
      </c>
      <c r="C31" s="32"/>
      <c r="D31" s="22"/>
      <c r="F31" s="22" t="s">
        <v>61</v>
      </c>
      <c r="G31" s="40">
        <f>B13+B38+B54+B70+B88+B100+B115</f>
        <v>17155</v>
      </c>
      <c r="H31" s="22"/>
      <c r="I31" s="22"/>
      <c r="J31" s="22"/>
    </row>
    <row r="32" spans="1:10" ht="15.75" customHeight="1">
      <c r="A32" s="34" t="s">
        <v>62</v>
      </c>
      <c r="B32" s="35">
        <v>300</v>
      </c>
      <c r="C32" s="32"/>
      <c r="D32" s="22"/>
      <c r="F32" s="22"/>
      <c r="G32" s="22"/>
      <c r="H32" s="22"/>
      <c r="I32" s="22"/>
      <c r="J32" s="22"/>
    </row>
    <row r="33" spans="1:10" ht="15.75" customHeight="1">
      <c r="A33" s="44" t="s">
        <v>63</v>
      </c>
      <c r="B33" s="37">
        <v>300</v>
      </c>
      <c r="C33" s="32"/>
      <c r="D33" s="22"/>
      <c r="F33" s="22"/>
      <c r="G33" s="22"/>
      <c r="H33" s="22"/>
      <c r="I33" s="22"/>
      <c r="J33" s="22"/>
    </row>
    <row r="34" spans="1:10" ht="15.75" customHeight="1">
      <c r="A34" s="22"/>
      <c r="B34" s="31"/>
      <c r="C34" s="32"/>
      <c r="D34" s="22"/>
      <c r="F34" s="22"/>
      <c r="G34" s="22"/>
      <c r="H34" s="22"/>
      <c r="I34" s="22"/>
      <c r="J34" s="22"/>
    </row>
    <row r="35" spans="1:10" ht="15.75" customHeight="1">
      <c r="A35" s="45" t="s">
        <v>61</v>
      </c>
      <c r="B35" s="36">
        <f>SUM(B30:B33)</f>
        <v>1200</v>
      </c>
      <c r="C35" s="32"/>
      <c r="D35" s="22"/>
      <c r="F35" s="22"/>
      <c r="G35" s="22"/>
      <c r="H35" s="22"/>
      <c r="I35" s="22"/>
      <c r="J35" s="22"/>
    </row>
    <row r="36" spans="1:10" ht="15.75" customHeight="1">
      <c r="A36" s="45" t="s">
        <v>41</v>
      </c>
      <c r="B36" s="41">
        <v>4</v>
      </c>
      <c r="C36" s="32"/>
      <c r="D36" s="22"/>
      <c r="F36" s="22"/>
      <c r="G36" s="22"/>
      <c r="H36" s="22"/>
      <c r="I36" s="22"/>
      <c r="J36" s="22"/>
    </row>
    <row r="37" spans="1:10" ht="15.75" customHeight="1">
      <c r="A37" s="22"/>
      <c r="B37" s="31"/>
      <c r="C37" s="32"/>
      <c r="D37" s="22"/>
      <c r="F37" s="22"/>
      <c r="G37" s="22"/>
      <c r="H37" s="22"/>
      <c r="I37" s="22"/>
      <c r="J37" s="22"/>
    </row>
    <row r="38" spans="1:10" ht="15.75" customHeight="1">
      <c r="A38" s="27" t="s">
        <v>57</v>
      </c>
      <c r="B38" s="42">
        <f>B35</f>
        <v>1200</v>
      </c>
      <c r="C38" s="32"/>
      <c r="D38" s="22"/>
      <c r="F38" s="22"/>
      <c r="G38" s="22"/>
      <c r="H38" s="22"/>
      <c r="I38" s="22"/>
      <c r="J38" s="22"/>
    </row>
    <row r="39" spans="1:10" ht="15.75" customHeight="1">
      <c r="A39" s="23"/>
      <c r="B39" s="31"/>
      <c r="C39" s="32"/>
      <c r="D39" s="22"/>
      <c r="F39" s="22"/>
      <c r="G39" s="22"/>
      <c r="H39" s="22"/>
      <c r="I39" s="22"/>
      <c r="J39" s="22"/>
    </row>
    <row r="40" spans="1:10" ht="15.75" customHeight="1">
      <c r="A40" s="24" t="s">
        <v>64</v>
      </c>
      <c r="B40" s="43"/>
      <c r="C40" s="32"/>
      <c r="D40" s="22"/>
      <c r="F40" s="22"/>
      <c r="G40" s="22"/>
      <c r="H40" s="22"/>
      <c r="I40" s="22"/>
      <c r="J40" s="22"/>
    </row>
    <row r="41" spans="1:10" ht="15.75" customHeight="1">
      <c r="A41" s="30" t="s">
        <v>30</v>
      </c>
      <c r="B41" s="31"/>
      <c r="C41" s="32"/>
      <c r="D41" s="22"/>
      <c r="F41" s="22"/>
      <c r="G41" s="22"/>
      <c r="H41" s="22"/>
      <c r="I41" s="22"/>
      <c r="J41" s="22"/>
    </row>
    <row r="42" spans="1:10" ht="15.75" customHeight="1">
      <c r="A42" s="46" t="s">
        <v>65</v>
      </c>
      <c r="B42" s="35">
        <v>500</v>
      </c>
      <c r="C42" s="32"/>
      <c r="D42" s="22"/>
      <c r="F42" s="22"/>
      <c r="G42" s="22"/>
      <c r="H42" s="22"/>
      <c r="I42" s="22"/>
      <c r="J42" s="22"/>
    </row>
    <row r="43" spans="1:10" ht="15.75" customHeight="1">
      <c r="A43" s="46" t="s">
        <v>66</v>
      </c>
      <c r="B43" s="35">
        <v>500</v>
      </c>
      <c r="C43" s="32"/>
      <c r="D43" s="22"/>
      <c r="F43" s="22"/>
      <c r="G43" s="22"/>
      <c r="H43" s="22"/>
      <c r="I43" s="22"/>
      <c r="J43" s="22"/>
    </row>
    <row r="44" spans="1:10" ht="15.75" customHeight="1">
      <c r="A44" s="46" t="s">
        <v>67</v>
      </c>
      <c r="B44" s="47">
        <v>500</v>
      </c>
      <c r="C44" s="32"/>
      <c r="D44" s="22"/>
      <c r="F44" s="22"/>
      <c r="G44" s="22"/>
      <c r="H44" s="22"/>
      <c r="I44" s="22"/>
      <c r="J44" s="22"/>
    </row>
    <row r="45" spans="1:10" ht="15.75" customHeight="1">
      <c r="A45" s="48" t="s">
        <v>68</v>
      </c>
      <c r="B45" s="35">
        <v>150</v>
      </c>
      <c r="C45" s="32"/>
      <c r="D45" s="22"/>
      <c r="F45" s="22"/>
      <c r="G45" s="22"/>
      <c r="H45" s="22"/>
      <c r="I45" s="22"/>
      <c r="J45" s="22"/>
    </row>
    <row r="46" spans="1:10" ht="15.75" customHeight="1">
      <c r="A46" s="48" t="s">
        <v>68</v>
      </c>
      <c r="B46" s="35">
        <v>150</v>
      </c>
      <c r="C46" s="32"/>
      <c r="D46" s="22"/>
      <c r="F46" s="22"/>
      <c r="G46" s="22"/>
      <c r="H46" s="22"/>
      <c r="I46" s="22"/>
      <c r="J46" s="22"/>
    </row>
    <row r="47" spans="1:10" ht="15.75" customHeight="1">
      <c r="A47" s="48" t="s">
        <v>68</v>
      </c>
      <c r="B47" s="35">
        <v>150</v>
      </c>
      <c r="C47" s="32"/>
      <c r="D47" s="22"/>
      <c r="E47" s="22"/>
      <c r="F47" s="22"/>
      <c r="G47" s="22"/>
      <c r="H47" s="22"/>
      <c r="I47" s="22"/>
    </row>
    <row r="48" spans="1:10" ht="15.75" customHeight="1">
      <c r="A48" s="49"/>
      <c r="B48" s="35"/>
      <c r="C48" s="32"/>
      <c r="D48" s="22"/>
      <c r="E48" s="22"/>
      <c r="F48" s="22"/>
      <c r="G48" s="22"/>
      <c r="H48" s="22"/>
      <c r="I48" s="22"/>
    </row>
    <row r="49" spans="1:9" ht="15.75" customHeight="1">
      <c r="A49" s="22"/>
      <c r="B49" s="31"/>
      <c r="C49" s="32"/>
      <c r="D49" s="22"/>
      <c r="E49" s="22"/>
      <c r="F49" s="22"/>
      <c r="G49" s="22"/>
      <c r="H49" s="22"/>
      <c r="I49" s="22"/>
    </row>
    <row r="50" spans="1:9" ht="15.75" customHeight="1">
      <c r="A50" s="22"/>
      <c r="B50" s="31"/>
      <c r="C50" s="32"/>
      <c r="D50" s="22"/>
      <c r="E50" s="22"/>
      <c r="F50" s="22"/>
      <c r="G50" s="22"/>
      <c r="H50" s="22"/>
      <c r="I50" s="22"/>
    </row>
    <row r="51" spans="1:9" ht="15.75" customHeight="1">
      <c r="A51" s="50" t="s">
        <v>69</v>
      </c>
      <c r="B51" s="35"/>
      <c r="C51" s="32"/>
      <c r="D51" s="22"/>
      <c r="E51" s="22"/>
      <c r="F51" s="22"/>
      <c r="G51" s="22"/>
      <c r="H51" s="22"/>
      <c r="I51" s="22"/>
    </row>
    <row r="52" spans="1:9" ht="15.75" customHeight="1">
      <c r="A52" s="48" t="s">
        <v>70</v>
      </c>
      <c r="B52" s="35">
        <v>500</v>
      </c>
      <c r="C52" s="32"/>
      <c r="D52" s="22"/>
      <c r="E52" s="22"/>
      <c r="F52" s="22"/>
      <c r="G52" s="22"/>
      <c r="H52" s="22"/>
      <c r="I52" s="22"/>
    </row>
    <row r="53" spans="1:9" ht="15.75" customHeight="1">
      <c r="A53" s="22"/>
      <c r="B53" s="31"/>
      <c r="C53" s="32"/>
      <c r="D53" s="22"/>
      <c r="E53" s="22"/>
      <c r="F53" s="22"/>
      <c r="G53" s="22"/>
      <c r="H53" s="22"/>
      <c r="I53" s="22"/>
    </row>
    <row r="54" spans="1:9" ht="15.75" customHeight="1">
      <c r="A54" s="30" t="s">
        <v>40</v>
      </c>
      <c r="B54" s="36">
        <f>SUM(B42:B52)</f>
        <v>2450</v>
      </c>
      <c r="C54" s="32"/>
      <c r="D54" s="22"/>
      <c r="E54" s="22"/>
      <c r="F54" s="22"/>
      <c r="G54" s="22"/>
      <c r="H54" s="22"/>
      <c r="I54" s="22"/>
    </row>
    <row r="55" spans="1:9" ht="15.75" customHeight="1">
      <c r="A55" s="28" t="s">
        <v>41</v>
      </c>
      <c r="B55" s="51">
        <v>7</v>
      </c>
      <c r="C55" s="32"/>
      <c r="D55" s="22"/>
      <c r="E55" s="22"/>
      <c r="F55" s="22"/>
      <c r="G55" s="22"/>
      <c r="H55" s="22"/>
      <c r="I55" s="22"/>
    </row>
    <row r="56" spans="1:9" ht="15.75" customHeight="1">
      <c r="A56" s="22"/>
      <c r="B56" s="31"/>
      <c r="C56" s="32"/>
      <c r="D56" s="22"/>
      <c r="E56" s="22"/>
      <c r="F56" s="22"/>
      <c r="G56" s="22"/>
      <c r="H56" s="22"/>
      <c r="I56" s="22"/>
    </row>
    <row r="57" spans="1:9" ht="15.75" customHeight="1">
      <c r="A57" s="24" t="s">
        <v>71</v>
      </c>
      <c r="B57" s="43"/>
      <c r="C57" s="32"/>
      <c r="D57" s="22"/>
      <c r="E57" s="22"/>
      <c r="F57" s="22"/>
      <c r="G57" s="22"/>
      <c r="H57" s="22"/>
      <c r="I57" s="22"/>
    </row>
    <row r="58" spans="1:9" ht="15.75" customHeight="1">
      <c r="A58" s="30" t="s">
        <v>60</v>
      </c>
      <c r="B58" s="31"/>
      <c r="C58" s="32"/>
      <c r="D58" s="22"/>
      <c r="E58" s="22"/>
      <c r="F58" s="22"/>
      <c r="G58" s="22"/>
      <c r="H58" s="22"/>
      <c r="I58" s="22"/>
    </row>
    <row r="59" spans="1:9" ht="15.75" customHeight="1">
      <c r="A59" s="52" t="s">
        <v>21</v>
      </c>
      <c r="B59" s="36">
        <v>225</v>
      </c>
      <c r="C59" s="32"/>
      <c r="D59" s="22"/>
      <c r="E59" s="22"/>
      <c r="F59" s="22"/>
      <c r="G59" s="22"/>
      <c r="H59" s="22"/>
      <c r="I59" s="22"/>
    </row>
    <row r="60" spans="1:9" ht="15.75" customHeight="1">
      <c r="A60" s="52" t="s">
        <v>21</v>
      </c>
      <c r="B60" s="36">
        <v>225</v>
      </c>
      <c r="C60" s="32"/>
      <c r="D60" s="22"/>
      <c r="E60" s="22"/>
      <c r="F60" s="22"/>
      <c r="G60" s="22"/>
      <c r="H60" s="22"/>
      <c r="I60" s="22"/>
    </row>
    <row r="61" spans="1:9" ht="15.75" customHeight="1">
      <c r="A61" s="52" t="s">
        <v>72</v>
      </c>
      <c r="B61" s="36">
        <v>400</v>
      </c>
      <c r="C61" s="32"/>
      <c r="D61" s="22"/>
      <c r="E61" s="22"/>
      <c r="F61" s="22"/>
      <c r="G61" s="22"/>
      <c r="H61" s="22"/>
      <c r="I61" s="22"/>
    </row>
    <row r="62" spans="1:9" ht="15.75" customHeight="1">
      <c r="A62" s="52" t="s">
        <v>73</v>
      </c>
      <c r="B62" s="36">
        <v>1000</v>
      </c>
      <c r="C62" s="32"/>
      <c r="D62" s="22"/>
      <c r="E62" s="22"/>
      <c r="F62" s="22"/>
      <c r="G62" s="22"/>
      <c r="H62" s="22"/>
      <c r="I62" s="22"/>
    </row>
    <row r="63" spans="1:9" ht="15.75" customHeight="1">
      <c r="A63" s="52" t="s">
        <v>74</v>
      </c>
      <c r="B63" s="36">
        <v>400</v>
      </c>
      <c r="C63" s="32"/>
      <c r="D63" s="22"/>
      <c r="E63" s="22"/>
      <c r="F63" s="22"/>
      <c r="G63" s="22"/>
      <c r="H63" s="22"/>
      <c r="I63" s="22"/>
    </row>
    <row r="64" spans="1:9" ht="15.75" customHeight="1">
      <c r="A64" s="52" t="s">
        <v>74</v>
      </c>
      <c r="B64" s="36">
        <v>400</v>
      </c>
      <c r="C64" s="32"/>
      <c r="D64" s="22"/>
      <c r="E64" s="22"/>
      <c r="F64" s="22"/>
      <c r="G64" s="22"/>
      <c r="H64" s="22"/>
      <c r="I64" s="22"/>
    </row>
    <row r="65" spans="1:9" ht="15.75" customHeight="1">
      <c r="A65" s="52" t="s">
        <v>75</v>
      </c>
      <c r="B65" s="36">
        <v>500</v>
      </c>
      <c r="C65" s="32"/>
      <c r="D65" s="22"/>
      <c r="E65" s="22"/>
      <c r="F65" s="22"/>
      <c r="G65" s="22"/>
      <c r="H65" s="22"/>
      <c r="I65" s="22"/>
    </row>
    <row r="66" spans="1:9" ht="15.75" customHeight="1">
      <c r="A66" s="52" t="s">
        <v>75</v>
      </c>
      <c r="B66" s="36">
        <v>500</v>
      </c>
      <c r="C66" s="32"/>
      <c r="D66" s="22"/>
      <c r="E66" s="22"/>
      <c r="F66" s="22"/>
      <c r="G66" s="22"/>
      <c r="H66" s="22"/>
      <c r="I66" s="22"/>
    </row>
    <row r="67" spans="1:9" ht="15.75" customHeight="1">
      <c r="A67" s="52" t="s">
        <v>76</v>
      </c>
      <c r="B67" s="36">
        <v>400</v>
      </c>
      <c r="C67" s="32"/>
      <c r="D67" s="22"/>
      <c r="E67" s="22"/>
      <c r="F67" s="22"/>
      <c r="G67" s="22"/>
      <c r="H67" s="22"/>
      <c r="I67" s="22"/>
    </row>
    <row r="68" spans="1:9" ht="15.75" customHeight="1">
      <c r="A68" s="52" t="s">
        <v>77</v>
      </c>
      <c r="B68" s="36">
        <v>250</v>
      </c>
      <c r="C68" s="32"/>
      <c r="D68" s="22"/>
      <c r="E68" s="22"/>
      <c r="F68" s="22"/>
      <c r="G68" s="22"/>
      <c r="H68" s="22"/>
      <c r="I68" s="22"/>
    </row>
    <row r="69" spans="1:9" ht="15.75" customHeight="1">
      <c r="A69" s="22"/>
      <c r="B69" s="31"/>
      <c r="C69" s="32"/>
      <c r="D69" s="22"/>
      <c r="E69" s="22"/>
      <c r="F69" s="22"/>
      <c r="G69" s="22"/>
      <c r="H69" s="22"/>
      <c r="I69" s="22"/>
    </row>
    <row r="70" spans="1:9" ht="15.75" customHeight="1">
      <c r="A70" s="45" t="s">
        <v>61</v>
      </c>
      <c r="B70" s="36">
        <f>SUM(B59:B68)</f>
        <v>4300</v>
      </c>
      <c r="C70" s="32"/>
      <c r="D70" s="22"/>
      <c r="E70" s="22"/>
      <c r="F70" s="22"/>
      <c r="G70" s="22"/>
      <c r="H70" s="22"/>
      <c r="I70" s="22"/>
    </row>
    <row r="71" spans="1:9" ht="15.75" customHeight="1">
      <c r="A71" s="53" t="s">
        <v>78</v>
      </c>
      <c r="B71" s="51">
        <f>COUNT(B59:B68)</f>
        <v>10</v>
      </c>
      <c r="C71" s="32"/>
      <c r="D71" s="22"/>
      <c r="E71" s="22"/>
      <c r="F71" s="22"/>
      <c r="G71" s="22"/>
      <c r="H71" s="22"/>
      <c r="I71" s="22"/>
    </row>
    <row r="72" spans="1:9" ht="15.75" customHeight="1">
      <c r="A72" s="22"/>
      <c r="B72" s="31"/>
      <c r="C72" s="32"/>
      <c r="D72" s="22"/>
      <c r="E72" s="22"/>
      <c r="F72" s="22"/>
      <c r="G72" s="22"/>
      <c r="H72" s="22"/>
      <c r="I72" s="22"/>
    </row>
    <row r="73" spans="1:9" ht="15.75" customHeight="1">
      <c r="A73" s="24" t="s">
        <v>79</v>
      </c>
      <c r="B73" s="43"/>
      <c r="C73" s="32"/>
      <c r="D73" s="22"/>
      <c r="E73" s="22"/>
      <c r="F73" s="22"/>
      <c r="G73" s="22"/>
      <c r="H73" s="22"/>
      <c r="I73" s="22"/>
    </row>
    <row r="74" spans="1:9" ht="15.75" customHeight="1">
      <c r="A74" s="30" t="s">
        <v>60</v>
      </c>
      <c r="B74" s="31"/>
      <c r="C74" s="32"/>
      <c r="D74" s="22"/>
      <c r="E74" s="22"/>
      <c r="F74" s="22"/>
      <c r="G74" s="22"/>
      <c r="H74" s="22"/>
      <c r="I74" s="22"/>
    </row>
    <row r="75" spans="1:9" ht="15.75" customHeight="1">
      <c r="A75" s="54" t="s">
        <v>80</v>
      </c>
      <c r="B75" s="55">
        <v>300</v>
      </c>
      <c r="C75" s="32"/>
      <c r="D75" s="22"/>
      <c r="E75" s="22"/>
      <c r="F75" s="22"/>
      <c r="G75" s="22"/>
      <c r="H75" s="22"/>
      <c r="I75" s="22"/>
    </row>
    <row r="76" spans="1:9" ht="15.75" customHeight="1">
      <c r="A76" s="54" t="s">
        <v>80</v>
      </c>
      <c r="B76" s="55">
        <v>300</v>
      </c>
      <c r="C76" s="32"/>
      <c r="D76" s="22"/>
      <c r="E76" s="22"/>
      <c r="F76" s="22"/>
      <c r="G76" s="22"/>
      <c r="H76" s="22"/>
      <c r="I76" s="22"/>
    </row>
    <row r="77" spans="1:9" ht="15.75" customHeight="1">
      <c r="A77" s="54" t="s">
        <v>81</v>
      </c>
      <c r="B77" s="55">
        <v>350</v>
      </c>
      <c r="C77" s="32"/>
      <c r="D77" s="22"/>
      <c r="E77" s="22"/>
      <c r="F77" s="22"/>
      <c r="G77" s="22"/>
      <c r="H77" s="22"/>
      <c r="I77" s="22"/>
    </row>
    <row r="78" spans="1:9" ht="15.75" customHeight="1">
      <c r="A78" s="56" t="s">
        <v>81</v>
      </c>
      <c r="B78" s="55">
        <v>350</v>
      </c>
      <c r="C78" s="32"/>
      <c r="D78" s="22"/>
      <c r="E78" s="22"/>
      <c r="F78" s="22"/>
      <c r="G78" s="22"/>
      <c r="H78" s="22"/>
      <c r="I78" s="22"/>
    </row>
    <row r="79" spans="1:9" ht="15.75" customHeight="1">
      <c r="A79" s="56" t="s">
        <v>82</v>
      </c>
      <c r="B79" s="55">
        <v>250</v>
      </c>
      <c r="C79" s="32"/>
      <c r="D79" s="22"/>
      <c r="E79" s="22"/>
      <c r="F79" s="22"/>
      <c r="G79" s="22"/>
      <c r="H79" s="22"/>
      <c r="I79" s="22"/>
    </row>
    <row r="80" spans="1:9" ht="15.75" customHeight="1">
      <c r="A80" s="54" t="s">
        <v>82</v>
      </c>
      <c r="B80" s="55">
        <v>250</v>
      </c>
      <c r="C80" s="32"/>
      <c r="D80" s="22"/>
      <c r="E80" s="22"/>
      <c r="F80" s="22"/>
      <c r="G80" s="22"/>
      <c r="H80" s="22"/>
      <c r="I80" s="22"/>
    </row>
    <row r="81" spans="1:9" ht="15.75" customHeight="1">
      <c r="A81" s="57" t="s">
        <v>83</v>
      </c>
      <c r="B81" s="58">
        <v>300</v>
      </c>
      <c r="C81" s="32"/>
      <c r="D81" s="22"/>
      <c r="E81" s="22"/>
      <c r="F81" s="22"/>
      <c r="G81" s="22"/>
      <c r="H81" s="22"/>
      <c r="I81" s="22"/>
    </row>
    <row r="82" spans="1:9" ht="15.75" customHeight="1">
      <c r="A82" s="57" t="s">
        <v>83</v>
      </c>
      <c r="B82" s="59">
        <v>300</v>
      </c>
      <c r="C82" s="32"/>
      <c r="D82" s="22"/>
      <c r="E82" s="22"/>
      <c r="F82" s="22"/>
      <c r="G82" s="22"/>
      <c r="H82" s="22"/>
      <c r="I82" s="22"/>
    </row>
    <row r="83" spans="1:9" ht="15.75" customHeight="1">
      <c r="A83" s="57" t="s">
        <v>84</v>
      </c>
      <c r="B83" s="58">
        <v>200</v>
      </c>
      <c r="C83" s="32"/>
      <c r="D83" s="22"/>
      <c r="E83" s="22"/>
      <c r="F83" s="22"/>
      <c r="G83" s="22"/>
      <c r="H83" s="22"/>
      <c r="I83" s="22"/>
    </row>
    <row r="84" spans="1:9" ht="15.75" customHeight="1">
      <c r="A84" s="57" t="s">
        <v>84</v>
      </c>
      <c r="B84" s="58">
        <v>200</v>
      </c>
      <c r="C84" s="32"/>
      <c r="D84" s="22"/>
      <c r="E84" s="22"/>
      <c r="F84" s="22"/>
      <c r="G84" s="22"/>
      <c r="H84" s="22"/>
      <c r="I84" s="22"/>
    </row>
    <row r="85" spans="1:9" ht="15.75" customHeight="1">
      <c r="A85" s="57" t="s">
        <v>85</v>
      </c>
      <c r="B85" s="58">
        <v>200</v>
      </c>
      <c r="C85" s="32"/>
      <c r="D85" s="22"/>
      <c r="E85" s="22"/>
      <c r="F85" s="22"/>
      <c r="G85" s="22"/>
      <c r="H85" s="22"/>
      <c r="I85" s="22"/>
    </row>
    <row r="86" spans="1:9" ht="15.75" customHeight="1">
      <c r="A86" s="57" t="s">
        <v>85</v>
      </c>
      <c r="B86" s="58">
        <v>200</v>
      </c>
      <c r="C86" s="32"/>
      <c r="D86" s="22"/>
      <c r="E86" s="22"/>
      <c r="F86" s="22"/>
      <c r="G86" s="22"/>
      <c r="H86" s="22"/>
      <c r="I86" s="22"/>
    </row>
    <row r="87" spans="1:9" ht="15.75" customHeight="1">
      <c r="A87" s="22"/>
      <c r="B87" s="31"/>
      <c r="C87" s="32"/>
      <c r="D87" s="22"/>
      <c r="E87" s="22"/>
      <c r="F87" s="22"/>
      <c r="G87" s="22"/>
      <c r="H87" s="22"/>
      <c r="I87" s="22"/>
    </row>
    <row r="88" spans="1:9" ht="15.75" customHeight="1">
      <c r="A88" s="60" t="s">
        <v>61</v>
      </c>
      <c r="B88" s="36">
        <f>SUM(B75:B86)</f>
        <v>3200</v>
      </c>
      <c r="C88" s="32"/>
      <c r="D88" s="22"/>
      <c r="E88" s="22"/>
      <c r="F88" s="22"/>
      <c r="G88" s="22"/>
      <c r="H88" s="22"/>
      <c r="I88" s="22"/>
    </row>
    <row r="89" spans="1:9" ht="15.75" customHeight="1">
      <c r="A89" s="61" t="s">
        <v>78</v>
      </c>
      <c r="B89" s="51">
        <f>COUNT(B75:B86)</f>
        <v>12</v>
      </c>
      <c r="C89" s="32"/>
      <c r="D89" s="22"/>
      <c r="E89" s="22"/>
      <c r="F89" s="22"/>
      <c r="G89" s="22"/>
      <c r="H89" s="22"/>
      <c r="I89" s="22"/>
    </row>
    <row r="90" spans="1:9" ht="15.75" customHeight="1">
      <c r="A90" s="22"/>
      <c r="B90" s="31"/>
      <c r="C90" s="32"/>
      <c r="D90" s="22"/>
      <c r="E90" s="22"/>
      <c r="F90" s="22"/>
      <c r="G90" s="22"/>
      <c r="H90" s="22"/>
      <c r="I90" s="22"/>
    </row>
    <row r="91" spans="1:9" ht="15.75" customHeight="1">
      <c r="A91" s="24" t="s">
        <v>86</v>
      </c>
      <c r="B91" s="43"/>
      <c r="C91" s="32"/>
      <c r="D91" s="22"/>
      <c r="E91" s="22"/>
      <c r="F91" s="22"/>
      <c r="G91" s="22"/>
      <c r="H91" s="22"/>
      <c r="I91" s="22"/>
    </row>
    <row r="92" spans="1:9" ht="15.75" customHeight="1">
      <c r="A92" s="30" t="s">
        <v>30</v>
      </c>
      <c r="B92" s="31"/>
      <c r="C92" s="32"/>
      <c r="D92" s="22"/>
      <c r="E92" s="22"/>
      <c r="F92" s="22"/>
      <c r="G92" s="22"/>
      <c r="H92" s="22"/>
      <c r="I92" s="22"/>
    </row>
    <row r="93" spans="1:9" ht="15.75" customHeight="1">
      <c r="A93" s="62" t="s">
        <v>87</v>
      </c>
      <c r="B93" s="63">
        <v>400</v>
      </c>
      <c r="C93" s="32"/>
      <c r="D93" s="22"/>
      <c r="E93" s="22"/>
      <c r="F93" s="22"/>
      <c r="G93" s="22"/>
      <c r="H93" s="22"/>
      <c r="I93" s="22"/>
    </row>
    <row r="94" spans="1:9" ht="15.75" customHeight="1">
      <c r="A94" s="64" t="s">
        <v>88</v>
      </c>
      <c r="B94" s="65">
        <v>200</v>
      </c>
      <c r="C94" s="32"/>
      <c r="D94" s="22"/>
      <c r="E94" s="22"/>
      <c r="F94" s="22"/>
      <c r="G94" s="22"/>
      <c r="H94" s="22"/>
      <c r="I94" s="22"/>
    </row>
    <row r="95" spans="1:9" ht="15.75" customHeight="1">
      <c r="A95" s="64" t="s">
        <v>89</v>
      </c>
      <c r="B95" s="65">
        <v>200</v>
      </c>
      <c r="C95" s="32"/>
      <c r="D95" s="22"/>
      <c r="E95" s="22"/>
      <c r="F95" s="22"/>
      <c r="G95" s="22"/>
      <c r="H95" s="22"/>
      <c r="I95" s="22"/>
    </row>
    <row r="96" spans="1:9" ht="15.75" customHeight="1">
      <c r="A96" s="62" t="s">
        <v>90</v>
      </c>
      <c r="B96" s="66">
        <v>400</v>
      </c>
      <c r="C96" s="32"/>
      <c r="D96" s="22"/>
      <c r="E96" s="22"/>
      <c r="F96" s="22"/>
      <c r="G96" s="22"/>
      <c r="H96" s="22"/>
      <c r="I96" s="22"/>
    </row>
    <row r="97" spans="1:9" ht="15.75" customHeight="1">
      <c r="A97" s="67" t="s">
        <v>81</v>
      </c>
      <c r="B97" s="68">
        <v>300</v>
      </c>
      <c r="C97" s="32"/>
      <c r="D97" s="22"/>
      <c r="E97" s="22"/>
      <c r="F97" s="22"/>
      <c r="G97" s="22"/>
      <c r="H97" s="22"/>
      <c r="I97" s="22"/>
    </row>
    <row r="98" spans="1:9" ht="15.75" customHeight="1">
      <c r="A98" s="67" t="s">
        <v>81</v>
      </c>
      <c r="B98" s="68">
        <v>300</v>
      </c>
      <c r="C98" s="32"/>
      <c r="D98" s="22"/>
      <c r="E98" s="22"/>
      <c r="F98" s="22"/>
      <c r="G98" s="22"/>
      <c r="H98" s="22"/>
      <c r="I98" s="22"/>
    </row>
    <row r="99" spans="1:9" ht="15.75" customHeight="1">
      <c r="A99" s="22"/>
      <c r="B99" s="31"/>
      <c r="C99" s="32"/>
      <c r="D99" s="22"/>
      <c r="E99" s="22"/>
      <c r="F99" s="22"/>
      <c r="G99" s="22"/>
      <c r="H99" s="22"/>
      <c r="I99" s="22"/>
    </row>
    <row r="100" spans="1:9" ht="15.75" customHeight="1">
      <c r="A100" s="30" t="s">
        <v>61</v>
      </c>
      <c r="B100" s="69">
        <f>SUM(B93:B98)</f>
        <v>1800</v>
      </c>
      <c r="C100" s="32"/>
      <c r="D100" s="22"/>
      <c r="E100" s="22"/>
      <c r="F100" s="22"/>
      <c r="G100" s="22"/>
      <c r="H100" s="22"/>
      <c r="I100" s="22"/>
    </row>
    <row r="101" spans="1:9" ht="15.75" customHeight="1">
      <c r="A101" s="30"/>
      <c r="B101" s="69"/>
      <c r="C101" s="32"/>
      <c r="D101" s="22"/>
      <c r="E101" s="22"/>
      <c r="F101" s="22"/>
      <c r="G101" s="22"/>
      <c r="H101" s="22"/>
      <c r="I101" s="22"/>
    </row>
    <row r="102" spans="1:9" ht="15.75" customHeight="1">
      <c r="A102" s="30" t="s">
        <v>91</v>
      </c>
      <c r="B102" s="69"/>
      <c r="C102" s="32"/>
      <c r="D102" s="22"/>
      <c r="E102" s="22"/>
      <c r="F102" s="22"/>
      <c r="G102" s="22"/>
      <c r="H102" s="22"/>
      <c r="I102" s="22"/>
    </row>
    <row r="103" spans="1:9" ht="15.75" customHeight="1">
      <c r="A103" s="34" t="s">
        <v>92</v>
      </c>
      <c r="B103" s="41">
        <v>400</v>
      </c>
      <c r="C103" s="32"/>
      <c r="D103" s="22"/>
      <c r="E103" s="22"/>
      <c r="F103" s="22"/>
      <c r="G103" s="22"/>
      <c r="H103" s="22"/>
      <c r="I103" s="22"/>
    </row>
    <row r="104" spans="1:9" ht="15.75" customHeight="1">
      <c r="A104" s="30" t="s">
        <v>93</v>
      </c>
      <c r="B104" s="41">
        <f>B103</f>
        <v>400</v>
      </c>
      <c r="C104" s="32"/>
      <c r="D104" s="22"/>
      <c r="E104" s="22"/>
      <c r="F104" s="22"/>
      <c r="G104" s="22"/>
      <c r="H104" s="22"/>
      <c r="I104" s="22"/>
    </row>
    <row r="105" spans="1:9" ht="15.75" customHeight="1">
      <c r="A105" s="30"/>
      <c r="B105" s="69"/>
      <c r="C105" s="32"/>
      <c r="D105" s="22"/>
      <c r="E105" s="22"/>
      <c r="F105" s="22"/>
      <c r="G105" s="22"/>
      <c r="H105" s="22"/>
      <c r="I105" s="22"/>
    </row>
    <row r="106" spans="1:9" ht="15.75" customHeight="1">
      <c r="A106" s="30" t="s">
        <v>54</v>
      </c>
      <c r="B106" s="69">
        <f>B100+(B104*15)</f>
        <v>7800</v>
      </c>
      <c r="C106" s="32"/>
      <c r="D106" s="22"/>
      <c r="E106" s="22"/>
      <c r="F106" s="22"/>
      <c r="G106" s="22"/>
      <c r="H106" s="22"/>
      <c r="I106" s="22"/>
    </row>
    <row r="107" spans="1:9" ht="15.75" customHeight="1">
      <c r="A107" s="70" t="s">
        <v>41</v>
      </c>
      <c r="B107" s="51">
        <f>COUNT(B93:B98)</f>
        <v>6</v>
      </c>
      <c r="C107" s="32" t="s">
        <v>94</v>
      </c>
      <c r="D107" s="22"/>
      <c r="E107" s="22"/>
      <c r="F107" s="22"/>
      <c r="G107" s="22"/>
      <c r="H107" s="22"/>
      <c r="I107" s="22"/>
    </row>
    <row r="108" spans="1:9" ht="15.75" customHeight="1">
      <c r="A108" s="22"/>
      <c r="B108" s="31"/>
      <c r="C108" s="32"/>
      <c r="D108" s="22"/>
      <c r="E108" s="22"/>
      <c r="F108" s="22"/>
      <c r="G108" s="22"/>
      <c r="H108" s="22"/>
      <c r="I108" s="22"/>
    </row>
    <row r="109" spans="1:9" ht="15.75" customHeight="1">
      <c r="A109" s="24" t="s">
        <v>95</v>
      </c>
      <c r="B109" s="43"/>
      <c r="C109" s="32"/>
      <c r="D109" s="22"/>
      <c r="E109" s="22"/>
      <c r="F109" s="22"/>
      <c r="G109" s="22"/>
      <c r="H109" s="22"/>
      <c r="I109" s="22"/>
    </row>
    <row r="110" spans="1:9" ht="15.75" customHeight="1">
      <c r="A110" s="30" t="s">
        <v>60</v>
      </c>
      <c r="B110" s="31"/>
      <c r="C110" s="32"/>
      <c r="D110" s="22"/>
      <c r="E110" s="22"/>
      <c r="F110" s="22"/>
      <c r="G110" s="22"/>
      <c r="H110" s="22"/>
      <c r="I110" s="22"/>
    </row>
    <row r="111" spans="1:9" ht="15.75" customHeight="1">
      <c r="A111" s="44" t="s">
        <v>96</v>
      </c>
      <c r="B111" s="71">
        <v>600</v>
      </c>
      <c r="C111" s="32"/>
      <c r="D111" s="22"/>
      <c r="E111" s="22"/>
      <c r="F111" s="22"/>
      <c r="G111" s="22"/>
      <c r="H111" s="22"/>
      <c r="I111" s="22"/>
    </row>
    <row r="112" spans="1:9" ht="15.75" customHeight="1">
      <c r="A112" s="44" t="s">
        <v>96</v>
      </c>
      <c r="B112" s="71">
        <v>600</v>
      </c>
      <c r="C112" s="32"/>
      <c r="D112" s="22"/>
      <c r="E112" s="22"/>
      <c r="F112" s="22"/>
      <c r="G112" s="22"/>
      <c r="H112" s="22"/>
      <c r="I112" s="22"/>
    </row>
    <row r="113" spans="1:9" ht="15.75" customHeight="1">
      <c r="A113" s="44" t="s">
        <v>97</v>
      </c>
      <c r="B113" s="71">
        <v>600</v>
      </c>
      <c r="C113" s="32"/>
      <c r="D113" s="22"/>
      <c r="E113" s="22"/>
      <c r="F113" s="22"/>
      <c r="G113" s="22"/>
      <c r="H113" s="22"/>
      <c r="I113" s="22"/>
    </row>
    <row r="114" spans="1:9" ht="15.75" customHeight="1">
      <c r="A114" s="22"/>
      <c r="B114" s="36"/>
      <c r="C114" s="32"/>
      <c r="D114" s="22"/>
      <c r="E114" s="22"/>
      <c r="F114" s="22"/>
      <c r="G114" s="22"/>
      <c r="H114" s="22"/>
      <c r="I114" s="22"/>
    </row>
    <row r="115" spans="1:9" ht="15.75" customHeight="1">
      <c r="A115" s="45" t="s">
        <v>61</v>
      </c>
      <c r="B115" s="36">
        <f>SUM(B111:B113)</f>
        <v>1800</v>
      </c>
      <c r="C115" s="32"/>
      <c r="D115" s="22"/>
      <c r="E115" s="22"/>
      <c r="F115" s="22"/>
      <c r="G115" s="22"/>
      <c r="H115" s="22"/>
      <c r="I115" s="22"/>
    </row>
    <row r="116" spans="1:9" ht="15.75" customHeight="1">
      <c r="A116" s="53" t="s">
        <v>41</v>
      </c>
      <c r="B116" s="51">
        <f>COUNT(B111:B113)</f>
        <v>3</v>
      </c>
      <c r="C116" s="32"/>
      <c r="D116" s="22"/>
      <c r="E116" s="22"/>
      <c r="F116" s="22"/>
      <c r="G116" s="22"/>
      <c r="H116" s="22"/>
      <c r="I116" s="22"/>
    </row>
    <row r="117" spans="1:9" ht="15.75" customHeight="1">
      <c r="A117" s="22"/>
      <c r="B117" s="31"/>
      <c r="C117" s="32"/>
      <c r="D117" s="22"/>
      <c r="E117" s="22"/>
      <c r="F117" s="22"/>
      <c r="G117" s="22"/>
      <c r="H117" s="22"/>
      <c r="I117" s="22"/>
    </row>
    <row r="118" spans="1:9" ht="15.75" customHeight="1">
      <c r="A118" s="24" t="s">
        <v>98</v>
      </c>
      <c r="B118" s="43"/>
      <c r="C118" s="32"/>
      <c r="D118" s="22"/>
      <c r="E118" s="22"/>
      <c r="F118" s="22"/>
      <c r="G118" s="22"/>
      <c r="H118" s="22"/>
      <c r="I118" s="22"/>
    </row>
    <row r="119" spans="1:9" ht="15.75" customHeight="1">
      <c r="A119" s="30" t="s">
        <v>42</v>
      </c>
      <c r="B119" s="31"/>
      <c r="C119" s="32"/>
      <c r="D119" s="22"/>
      <c r="E119" s="22"/>
      <c r="F119" s="22"/>
      <c r="G119" s="22"/>
      <c r="H119" s="22"/>
      <c r="I119" s="22"/>
    </row>
    <row r="120" spans="1:9" ht="15.75" customHeight="1">
      <c r="A120" s="52" t="s">
        <v>99</v>
      </c>
      <c r="B120" s="41">
        <f>((8*5)*32)+(6*4*4)+5</f>
        <v>1381</v>
      </c>
      <c r="C120" s="32"/>
      <c r="D120" s="22"/>
      <c r="E120" s="22"/>
      <c r="F120" s="22"/>
      <c r="G120" s="22"/>
      <c r="H120" s="22"/>
      <c r="I120" s="22"/>
    </row>
    <row r="121" spans="1:9" ht="15.75" customHeight="1">
      <c r="A121" s="52" t="s">
        <v>100</v>
      </c>
      <c r="B121" s="41">
        <f>((10*34)*6)+((20*34)*5)+((15*34)*1)</f>
        <v>5950</v>
      </c>
      <c r="C121" s="209" t="s">
        <v>517</v>
      </c>
      <c r="D121" s="22"/>
      <c r="E121" s="22"/>
      <c r="F121" s="22"/>
      <c r="G121" s="22"/>
      <c r="H121" s="22"/>
      <c r="I121" s="22"/>
    </row>
    <row r="122" spans="1:9" ht="15.75" customHeight="1">
      <c r="A122" s="52" t="s">
        <v>101</v>
      </c>
      <c r="B122" s="41">
        <v>250</v>
      </c>
      <c r="C122" s="32"/>
      <c r="D122" s="22"/>
      <c r="E122" s="22"/>
      <c r="F122" s="22"/>
      <c r="G122" s="22"/>
      <c r="H122" s="22"/>
      <c r="I122" s="22"/>
    </row>
    <row r="123" spans="1:9" ht="15.75" customHeight="1">
      <c r="A123" s="22"/>
      <c r="B123" s="31"/>
      <c r="C123" s="32"/>
      <c r="D123" s="22"/>
      <c r="E123" s="22"/>
      <c r="F123" s="22"/>
      <c r="G123" s="22"/>
      <c r="H123" s="22"/>
      <c r="I123" s="22"/>
    </row>
    <row r="124" spans="1:9" ht="15.75" customHeight="1">
      <c r="A124" s="30" t="s">
        <v>102</v>
      </c>
      <c r="B124" s="41">
        <f>SUM(B120:B122)</f>
        <v>7581</v>
      </c>
      <c r="C124" s="32"/>
      <c r="D124" s="22"/>
      <c r="E124" s="22"/>
      <c r="F124" s="22"/>
      <c r="G124" s="22"/>
      <c r="H124" s="22"/>
      <c r="I124" s="22"/>
    </row>
    <row r="125" spans="1:9" ht="15.75" customHeight="1">
      <c r="A125" s="45" t="s">
        <v>54</v>
      </c>
      <c r="B125" s="36">
        <f>(B120*15)+(B121*12.5)+(B122*12.5)</f>
        <v>98215</v>
      </c>
      <c r="C125" s="32"/>
      <c r="D125" s="22"/>
      <c r="E125" s="22"/>
      <c r="F125" s="22"/>
      <c r="G125" s="22"/>
      <c r="H125" s="22"/>
      <c r="I125" s="22"/>
    </row>
    <row r="126" spans="1:9" ht="15.75" customHeight="1">
      <c r="A126" s="53" t="s">
        <v>78</v>
      </c>
      <c r="B126" s="51">
        <f>3+8+1+3</f>
        <v>15</v>
      </c>
      <c r="C126" s="32"/>
      <c r="D126" s="22"/>
      <c r="E126" s="22"/>
      <c r="F126" s="22"/>
      <c r="G126" s="22"/>
      <c r="H126" s="22"/>
      <c r="I126" s="22"/>
    </row>
    <row r="127" spans="1:9" ht="15.75" customHeight="1">
      <c r="A127" s="22"/>
      <c r="B127" s="31"/>
      <c r="C127" s="32"/>
      <c r="D127" s="22"/>
      <c r="E127" s="22"/>
      <c r="F127" s="22"/>
      <c r="G127" s="22"/>
      <c r="H127" s="22"/>
      <c r="I127" s="22"/>
    </row>
    <row r="128" spans="1:9" ht="15.75" customHeight="1">
      <c r="A128" s="24" t="s">
        <v>103</v>
      </c>
      <c r="B128" s="43"/>
      <c r="C128" s="32"/>
      <c r="D128" s="22"/>
      <c r="E128" s="22"/>
      <c r="F128" s="22"/>
      <c r="G128" s="22"/>
      <c r="H128" s="22"/>
      <c r="I128" s="22"/>
    </row>
    <row r="129" spans="1:9" ht="15.75" customHeight="1">
      <c r="A129" s="30" t="s">
        <v>91</v>
      </c>
      <c r="B129" s="31"/>
      <c r="C129" s="32"/>
      <c r="D129" s="22"/>
      <c r="E129" s="22"/>
      <c r="F129" s="22">
        <f>((10*34)*6)</f>
        <v>2040</v>
      </c>
      <c r="G129" s="22">
        <f>F129*12.5</f>
        <v>25500</v>
      </c>
      <c r="H129" s="22">
        <f>G129/5</f>
        <v>5100</v>
      </c>
      <c r="I129" s="22"/>
    </row>
    <row r="130" spans="1:9" ht="15.75" customHeight="1">
      <c r="A130" s="52" t="s">
        <v>104</v>
      </c>
      <c r="B130" s="41">
        <f>((9.5*5*4*8)*0.7)*2.5</f>
        <v>2660</v>
      </c>
      <c r="C130" s="32"/>
      <c r="D130" s="22">
        <f>((9*12.5)-(2.5*15))/12.5</f>
        <v>6</v>
      </c>
      <c r="E130" s="22"/>
      <c r="F130" s="22"/>
      <c r="G130" s="22"/>
      <c r="H130" s="22"/>
      <c r="I130" s="22"/>
    </row>
    <row r="131" spans="1:9" ht="15.75" customHeight="1">
      <c r="A131" s="52" t="s">
        <v>105</v>
      </c>
      <c r="B131" s="41">
        <f>((8.5*5*4*8)*0.3)*2</f>
        <v>816</v>
      </c>
      <c r="C131" s="32"/>
      <c r="D131" s="22"/>
      <c r="E131" s="22">
        <f>((250+360)*12.5)+(25*34*5)</f>
        <v>11875</v>
      </c>
      <c r="F131" s="22">
        <f>((22*34)*5)+(15*34)</f>
        <v>4250</v>
      </c>
      <c r="G131" s="22">
        <f>(F131*12.5)-31500</f>
        <v>21625</v>
      </c>
      <c r="H131" s="22">
        <f>G131/6</f>
        <v>3604.1666666666665</v>
      </c>
      <c r="I131" s="22"/>
    </row>
    <row r="132" spans="1:9" ht="15.75" customHeight="1">
      <c r="A132" s="22"/>
      <c r="B132" s="31"/>
      <c r="C132" s="32"/>
      <c r="D132" s="22"/>
      <c r="E132" s="22"/>
      <c r="F132" s="22"/>
      <c r="G132" s="22"/>
      <c r="H132" s="22"/>
      <c r="I132" s="22"/>
    </row>
    <row r="133" spans="1:9" ht="15.75" customHeight="1">
      <c r="A133" s="30" t="s">
        <v>106</v>
      </c>
      <c r="B133" s="31"/>
      <c r="C133" s="32"/>
      <c r="D133" s="22"/>
      <c r="E133" s="22"/>
      <c r="F133" s="22"/>
      <c r="G133" s="22"/>
      <c r="H133" s="22"/>
      <c r="I133" s="22"/>
    </row>
    <row r="134" spans="1:9" ht="15.75" customHeight="1">
      <c r="A134" s="52" t="s">
        <v>107</v>
      </c>
      <c r="B134" s="36">
        <f>1100*8</f>
        <v>8800</v>
      </c>
      <c r="C134" s="32"/>
      <c r="D134" s="22"/>
      <c r="E134" s="22"/>
      <c r="F134" s="22"/>
      <c r="G134" s="22"/>
      <c r="H134" s="22"/>
      <c r="I134" s="22"/>
    </row>
    <row r="135" spans="1:9" ht="15.75" customHeight="1">
      <c r="A135" s="52" t="s">
        <v>108</v>
      </c>
      <c r="B135" s="36">
        <f>800*8</f>
        <v>6400</v>
      </c>
      <c r="C135" s="32"/>
      <c r="D135" s="22"/>
      <c r="E135" s="40"/>
      <c r="F135" s="22"/>
      <c r="G135" s="22"/>
      <c r="H135" s="22"/>
      <c r="I135" s="22"/>
    </row>
    <row r="136" spans="1:9" ht="15.75" customHeight="1">
      <c r="A136" s="22"/>
      <c r="B136" s="31"/>
      <c r="C136" s="32"/>
      <c r="D136" s="22"/>
      <c r="E136" s="22"/>
      <c r="F136" s="22"/>
      <c r="G136" s="22"/>
      <c r="H136" s="22"/>
      <c r="I136" s="22"/>
    </row>
    <row r="137" spans="1:9" ht="15.75" customHeight="1">
      <c r="A137" s="30" t="s">
        <v>93</v>
      </c>
      <c r="B137" s="41">
        <f>B130+B131</f>
        <v>3476</v>
      </c>
      <c r="C137" s="32"/>
      <c r="D137" s="22"/>
      <c r="E137" s="22"/>
      <c r="F137" s="22"/>
      <c r="G137" s="22"/>
      <c r="H137" s="22"/>
      <c r="I137" s="22"/>
    </row>
    <row r="138" spans="1:9" ht="15.75" customHeight="1">
      <c r="A138" s="30" t="s">
        <v>109</v>
      </c>
      <c r="B138" s="36">
        <f>B134+B135</f>
        <v>15200</v>
      </c>
      <c r="C138" s="32"/>
      <c r="D138" s="22"/>
      <c r="E138" s="22"/>
      <c r="F138" s="22"/>
      <c r="G138" s="22"/>
      <c r="H138" s="22"/>
      <c r="I138" s="22"/>
    </row>
    <row r="139" spans="1:9" ht="15.75" customHeight="1">
      <c r="A139" s="30" t="s">
        <v>54</v>
      </c>
      <c r="B139" s="36">
        <f>B138+((B130*12.5)+(B131*13))</f>
        <v>59058</v>
      </c>
      <c r="C139" s="32"/>
      <c r="D139" s="22"/>
      <c r="E139" s="22"/>
      <c r="F139" s="22"/>
      <c r="G139" s="22"/>
      <c r="H139" s="22"/>
      <c r="I139" s="22"/>
    </row>
    <row r="140" spans="1:9" ht="15.75" customHeight="1">
      <c r="A140" s="70" t="s">
        <v>78</v>
      </c>
      <c r="B140" s="51">
        <f>2+7+3</f>
        <v>12</v>
      </c>
      <c r="C140" s="32"/>
      <c r="D140" s="22"/>
      <c r="E140" s="22"/>
      <c r="F140" s="22"/>
      <c r="G140" s="22"/>
      <c r="H140" s="22"/>
      <c r="I140" s="22"/>
    </row>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38CA02-4B0E-45FC-BDB5-5A5D26D763D7}">
  <sheetPr>
    <tabColor rgb="FF92D050"/>
  </sheetPr>
  <dimension ref="A1:E252"/>
  <sheetViews>
    <sheetView zoomScale="50" zoomScaleNormal="50" workbookViewId="0">
      <selection activeCell="D38" sqref="D38"/>
    </sheetView>
  </sheetViews>
  <sheetFormatPr defaultRowHeight="12.75"/>
  <cols>
    <col min="1" max="1" width="45.1328125" bestFit="1" customWidth="1"/>
    <col min="2" max="2" width="45.59765625" customWidth="1"/>
    <col min="3" max="3" width="15.59765625" customWidth="1"/>
    <col min="4" max="4" width="135" bestFit="1" customWidth="1"/>
  </cols>
  <sheetData>
    <row r="1" spans="1:5" ht="25.5">
      <c r="A1" s="72" t="s">
        <v>331</v>
      </c>
      <c r="B1" s="73"/>
      <c r="C1" s="205"/>
      <c r="D1" s="206"/>
      <c r="E1" s="73"/>
    </row>
    <row r="2" spans="1:5" ht="25.5">
      <c r="A2" s="74" t="s">
        <v>22</v>
      </c>
    </row>
    <row r="3" spans="1:5" ht="14.25">
      <c r="A3" s="75" t="s">
        <v>349</v>
      </c>
    </row>
    <row r="7" spans="1:5" ht="21">
      <c r="A7" s="76" t="s">
        <v>110</v>
      </c>
      <c r="B7" s="77" t="s">
        <v>0</v>
      </c>
      <c r="C7" s="241"/>
      <c r="D7" s="241"/>
    </row>
    <row r="8" spans="1:5" ht="15.4">
      <c r="A8" s="182" t="s">
        <v>110</v>
      </c>
      <c r="B8" s="78" t="s">
        <v>113</v>
      </c>
      <c r="C8" s="78" t="s">
        <v>2</v>
      </c>
      <c r="D8" s="78" t="s">
        <v>112</v>
      </c>
    </row>
    <row r="9" spans="1:5" ht="14.25">
      <c r="A9" s="121" t="s">
        <v>365</v>
      </c>
      <c r="B9" s="91" t="s">
        <v>383</v>
      </c>
      <c r="C9" s="284">
        <v>420</v>
      </c>
      <c r="D9" s="285"/>
    </row>
    <row r="10" spans="1:5" ht="14.25">
      <c r="A10" s="242"/>
      <c r="B10" s="134"/>
      <c r="C10" s="243"/>
      <c r="D10" s="244"/>
      <c r="E10" s="73"/>
    </row>
    <row r="11" spans="1:5" ht="14.25">
      <c r="A11" s="121" t="s">
        <v>366</v>
      </c>
      <c r="B11" s="91" t="s">
        <v>383</v>
      </c>
      <c r="C11" s="284">
        <v>1376</v>
      </c>
      <c r="D11" s="285"/>
    </row>
    <row r="12" spans="1:5" ht="14.25">
      <c r="A12" s="84"/>
      <c r="B12" s="86"/>
      <c r="C12" s="245"/>
      <c r="D12" s="246"/>
    </row>
    <row r="13" spans="1:5" ht="14.25">
      <c r="A13" s="121" t="s">
        <v>367</v>
      </c>
      <c r="B13" s="91" t="s">
        <v>383</v>
      </c>
      <c r="C13" s="284">
        <v>1550</v>
      </c>
      <c r="D13" s="285"/>
    </row>
    <row r="14" spans="1:5" ht="14.25">
      <c r="A14" s="84"/>
      <c r="B14" s="86"/>
      <c r="C14" s="245"/>
      <c r="D14" s="246"/>
    </row>
    <row r="15" spans="1:5" ht="14.25">
      <c r="A15" s="121" t="s">
        <v>368</v>
      </c>
      <c r="B15" s="91" t="s">
        <v>383</v>
      </c>
      <c r="C15" s="284">
        <v>0</v>
      </c>
      <c r="D15" s="285"/>
    </row>
    <row r="16" spans="1:5" ht="14.25">
      <c r="A16" s="84"/>
      <c r="B16" s="86"/>
      <c r="C16" s="245"/>
      <c r="D16" s="246"/>
    </row>
    <row r="17" spans="1:5" ht="14.25">
      <c r="A17" s="247" t="s">
        <v>369</v>
      </c>
      <c r="B17" s="248"/>
      <c r="C17" s="249">
        <v>0</v>
      </c>
      <c r="D17" s="250" t="s">
        <v>370</v>
      </c>
    </row>
    <row r="18" spans="1:5" ht="14.25">
      <c r="A18" s="242"/>
      <c r="B18" s="134"/>
      <c r="C18" s="243"/>
      <c r="D18" s="244"/>
      <c r="E18" s="73"/>
    </row>
    <row r="19" spans="1:5" ht="14.25">
      <c r="A19" s="84" t="s">
        <v>371</v>
      </c>
      <c r="B19" s="150" t="s">
        <v>404</v>
      </c>
      <c r="C19" s="245">
        <v>1350</v>
      </c>
      <c r="D19" s="246"/>
    </row>
    <row r="20" spans="1:5" ht="14.25">
      <c r="A20" s="84"/>
      <c r="B20" s="150"/>
      <c r="C20" s="245"/>
      <c r="D20" s="246"/>
    </row>
    <row r="21" spans="1:5" ht="14.25">
      <c r="A21" s="84" t="s">
        <v>372</v>
      </c>
      <c r="B21" s="150" t="s">
        <v>404</v>
      </c>
      <c r="C21" s="245">
        <v>720</v>
      </c>
      <c r="D21" s="246"/>
    </row>
    <row r="22" spans="1:5" ht="14.25">
      <c r="A22" s="84" t="s">
        <v>372</v>
      </c>
      <c r="B22" s="143" t="s">
        <v>178</v>
      </c>
      <c r="C22" s="245">
        <v>200</v>
      </c>
      <c r="D22" s="246"/>
    </row>
    <row r="23" spans="1:5" ht="14.25">
      <c r="A23" s="84" t="s">
        <v>372</v>
      </c>
      <c r="B23" s="143" t="s">
        <v>373</v>
      </c>
      <c r="C23" s="245">
        <v>800</v>
      </c>
      <c r="D23" s="246"/>
    </row>
    <row r="24" spans="1:5" ht="14.25">
      <c r="A24" s="84" t="s">
        <v>372</v>
      </c>
      <c r="B24" s="143" t="s">
        <v>374</v>
      </c>
      <c r="C24" s="245">
        <v>500</v>
      </c>
      <c r="D24" s="246"/>
    </row>
    <row r="25" spans="1:5" ht="14.25">
      <c r="A25" s="84" t="s">
        <v>372</v>
      </c>
      <c r="B25" s="143" t="s">
        <v>375</v>
      </c>
      <c r="C25" s="245">
        <v>400</v>
      </c>
      <c r="D25" s="246"/>
    </row>
    <row r="26" spans="1:5" ht="14.25">
      <c r="A26" s="84"/>
      <c r="B26" s="143"/>
      <c r="C26" s="245"/>
      <c r="D26" s="246"/>
    </row>
    <row r="27" spans="1:5" ht="14.25">
      <c r="A27" s="84" t="s">
        <v>376</v>
      </c>
      <c r="B27" s="251"/>
      <c r="C27" s="252">
        <v>0</v>
      </c>
      <c r="D27" s="246" t="s">
        <v>377</v>
      </c>
    </row>
    <row r="28" spans="1:5" ht="14.25">
      <c r="A28" s="84"/>
      <c r="B28" s="255"/>
      <c r="C28" s="243"/>
      <c r="D28" s="246"/>
    </row>
    <row r="29" spans="1:5" ht="14.25">
      <c r="A29" s="247" t="s">
        <v>378</v>
      </c>
      <c r="B29" s="253"/>
      <c r="C29" s="254">
        <v>0</v>
      </c>
      <c r="D29" s="250" t="s">
        <v>379</v>
      </c>
    </row>
    <row r="30" spans="1:5" ht="14.25">
      <c r="A30" s="242"/>
      <c r="B30" s="255"/>
      <c r="C30" s="243"/>
      <c r="D30" s="244"/>
      <c r="E30" s="73"/>
    </row>
    <row r="31" spans="1:5" ht="14.25">
      <c r="A31" s="242" t="s">
        <v>380</v>
      </c>
      <c r="B31" s="134" t="s">
        <v>404</v>
      </c>
      <c r="C31" s="243">
        <v>860</v>
      </c>
      <c r="D31" s="244"/>
    </row>
    <row r="32" spans="1:5" ht="14.25">
      <c r="A32" s="242" t="s">
        <v>380</v>
      </c>
      <c r="B32" s="134" t="s">
        <v>396</v>
      </c>
      <c r="C32" s="243">
        <v>1200</v>
      </c>
      <c r="D32" s="244"/>
    </row>
    <row r="33" spans="1:5" ht="14.25">
      <c r="A33" s="242"/>
      <c r="B33" s="134"/>
      <c r="C33" s="243"/>
      <c r="D33" s="244"/>
      <c r="E33" s="73"/>
    </row>
    <row r="34" spans="1:5" ht="14.25">
      <c r="A34" s="242" t="s">
        <v>381</v>
      </c>
      <c r="B34" s="134" t="s">
        <v>383</v>
      </c>
      <c r="C34" s="243">
        <v>540</v>
      </c>
      <c r="D34" s="333"/>
    </row>
    <row r="35" spans="1:5" ht="14.25">
      <c r="A35" s="242"/>
      <c r="B35" s="134"/>
      <c r="C35" s="243"/>
      <c r="D35" s="244"/>
      <c r="E35" s="73"/>
    </row>
    <row r="36" spans="1:5" ht="14.25">
      <c r="A36" s="121" t="s">
        <v>382</v>
      </c>
      <c r="B36" s="91" t="s">
        <v>383</v>
      </c>
      <c r="C36" s="284">
        <f>10725.31-6121.38</f>
        <v>4603.9299999999994</v>
      </c>
      <c r="D36" s="285" t="s">
        <v>384</v>
      </c>
    </row>
    <row r="37" spans="1:5" ht="14.25">
      <c r="A37" s="84"/>
      <c r="B37" s="86"/>
      <c r="C37" s="245"/>
      <c r="D37" s="246"/>
    </row>
    <row r="38" spans="1:5" ht="14.25">
      <c r="A38" s="84" t="s">
        <v>385</v>
      </c>
      <c r="B38" s="86" t="s">
        <v>404</v>
      </c>
      <c r="C38" s="245">
        <v>200</v>
      </c>
      <c r="D38" s="246"/>
    </row>
    <row r="39" spans="1:5" ht="14.25">
      <c r="A39" s="84"/>
      <c r="B39" s="86"/>
      <c r="C39" s="245"/>
      <c r="D39" s="246"/>
    </row>
    <row r="40" spans="1:5" ht="14.25">
      <c r="A40" s="84" t="s">
        <v>386</v>
      </c>
      <c r="B40" s="86" t="s">
        <v>178</v>
      </c>
      <c r="C40" s="245">
        <v>400</v>
      </c>
      <c r="D40" s="246"/>
    </row>
    <row r="41" spans="1:5" ht="14.25">
      <c r="A41" s="84"/>
      <c r="B41" s="86"/>
      <c r="C41" s="245"/>
      <c r="D41" s="246"/>
    </row>
    <row r="42" spans="1:5" ht="14.25">
      <c r="A42" s="84" t="s">
        <v>387</v>
      </c>
      <c r="B42" s="86" t="s">
        <v>178</v>
      </c>
      <c r="C42" s="245">
        <v>500</v>
      </c>
      <c r="D42" s="246"/>
    </row>
    <row r="43" spans="1:5" ht="14.25">
      <c r="A43" s="84" t="s">
        <v>387</v>
      </c>
      <c r="B43" s="86" t="s">
        <v>373</v>
      </c>
      <c r="C43" s="245">
        <v>2350</v>
      </c>
      <c r="D43" s="246"/>
    </row>
    <row r="44" spans="1:5" ht="14.25">
      <c r="A44" s="84"/>
      <c r="B44" s="86"/>
      <c r="C44" s="245"/>
      <c r="D44" s="246"/>
    </row>
    <row r="45" spans="1:5" ht="14.25">
      <c r="A45" s="84" t="s">
        <v>388</v>
      </c>
      <c r="B45" s="86" t="s">
        <v>374</v>
      </c>
      <c r="C45" s="245">
        <v>700</v>
      </c>
      <c r="D45" s="246"/>
    </row>
    <row r="46" spans="1:5" ht="14.25">
      <c r="A46" s="84" t="s">
        <v>388</v>
      </c>
      <c r="B46" s="86" t="s">
        <v>178</v>
      </c>
      <c r="C46" s="245">
        <v>2786</v>
      </c>
      <c r="D46" s="246"/>
    </row>
    <row r="47" spans="1:5" ht="14.25">
      <c r="A47" s="84" t="s">
        <v>388</v>
      </c>
      <c r="B47" s="86" t="s">
        <v>404</v>
      </c>
      <c r="C47" s="100">
        <v>120</v>
      </c>
      <c r="D47" s="101"/>
    </row>
    <row r="48" spans="1:5" ht="14.25">
      <c r="A48" s="84" t="s">
        <v>388</v>
      </c>
      <c r="B48" s="86" t="s">
        <v>373</v>
      </c>
      <c r="C48" s="100">
        <v>650</v>
      </c>
      <c r="D48" s="101"/>
    </row>
    <row r="49" spans="1:5" ht="14.25">
      <c r="A49" s="84"/>
      <c r="B49" s="86"/>
      <c r="C49" s="100"/>
      <c r="D49" s="101"/>
    </row>
    <row r="50" spans="1:5" ht="14.25">
      <c r="A50" s="121" t="s">
        <v>389</v>
      </c>
      <c r="B50" s="91" t="s">
        <v>383</v>
      </c>
      <c r="C50" s="105">
        <v>1000</v>
      </c>
      <c r="D50" s="106"/>
    </row>
    <row r="51" spans="1:5" ht="14.25">
      <c r="A51" s="242"/>
      <c r="B51" s="134"/>
      <c r="C51" s="179"/>
      <c r="D51" s="256"/>
      <c r="E51" s="73"/>
    </row>
    <row r="52" spans="1:5" ht="14.25">
      <c r="A52" s="121" t="s">
        <v>390</v>
      </c>
      <c r="B52" s="91" t="s">
        <v>383</v>
      </c>
      <c r="C52" s="105">
        <v>0</v>
      </c>
      <c r="D52" s="106"/>
    </row>
    <row r="53" spans="1:5" ht="14.25">
      <c r="A53" s="242"/>
      <c r="B53" s="134"/>
      <c r="C53" s="179"/>
      <c r="D53" s="256"/>
      <c r="E53" s="73"/>
    </row>
    <row r="54" spans="1:5" ht="14.25">
      <c r="A54" s="84" t="s">
        <v>437</v>
      </c>
      <c r="B54" s="86" t="s">
        <v>436</v>
      </c>
      <c r="C54" s="100">
        <v>100</v>
      </c>
      <c r="D54" s="101"/>
    </row>
    <row r="55" spans="1:5" ht="14.25">
      <c r="A55" s="84" t="s">
        <v>437</v>
      </c>
      <c r="B55" s="86" t="s">
        <v>373</v>
      </c>
      <c r="C55" s="100">
        <v>200</v>
      </c>
      <c r="D55" s="101"/>
    </row>
    <row r="56" spans="1:5" ht="14.25">
      <c r="A56" s="84"/>
      <c r="B56" s="86"/>
      <c r="C56" s="100"/>
      <c r="D56" s="101"/>
    </row>
    <row r="57" spans="1:5" ht="14.25">
      <c r="A57" s="247" t="s">
        <v>392</v>
      </c>
      <c r="B57" s="248"/>
      <c r="C57" s="257">
        <v>0</v>
      </c>
      <c r="D57" s="258" t="s">
        <v>393</v>
      </c>
    </row>
    <row r="58" spans="1:5" ht="14.25">
      <c r="A58" s="242"/>
      <c r="B58" s="134"/>
      <c r="C58" s="179"/>
      <c r="D58" s="256"/>
      <c r="E58" s="73"/>
    </row>
    <row r="59" spans="1:5" ht="14.25">
      <c r="A59" s="242" t="s">
        <v>394</v>
      </c>
      <c r="B59" s="134" t="s">
        <v>373</v>
      </c>
      <c r="C59" s="179">
        <v>450</v>
      </c>
      <c r="D59" s="256"/>
    </row>
    <row r="60" spans="1:5" ht="14.25">
      <c r="A60" s="242" t="s">
        <v>394</v>
      </c>
      <c r="B60" s="86" t="s">
        <v>404</v>
      </c>
      <c r="C60" s="100">
        <v>990</v>
      </c>
      <c r="D60" s="101"/>
    </row>
    <row r="61" spans="1:5" ht="14.25">
      <c r="A61" s="242" t="s">
        <v>394</v>
      </c>
      <c r="B61" s="86" t="s">
        <v>395</v>
      </c>
      <c r="C61" s="100">
        <v>560</v>
      </c>
      <c r="D61" s="101"/>
    </row>
    <row r="62" spans="1:5" ht="14.25">
      <c r="A62" s="242" t="s">
        <v>394</v>
      </c>
      <c r="B62" s="86" t="s">
        <v>396</v>
      </c>
      <c r="C62" s="100">
        <v>12000</v>
      </c>
      <c r="D62" s="101"/>
    </row>
    <row r="63" spans="1:5" ht="14.25">
      <c r="A63" s="242"/>
      <c r="B63" s="86"/>
      <c r="C63" s="100"/>
      <c r="D63" s="101"/>
    </row>
    <row r="64" spans="1:5" ht="14.25">
      <c r="A64" s="247" t="s">
        <v>397</v>
      </c>
      <c r="B64" s="248"/>
      <c r="C64" s="257">
        <v>0</v>
      </c>
      <c r="D64" s="258" t="s">
        <v>370</v>
      </c>
    </row>
    <row r="65" spans="1:5" ht="14.25">
      <c r="A65" s="242"/>
      <c r="B65" s="134"/>
      <c r="C65" s="179"/>
      <c r="D65" s="256"/>
      <c r="E65" s="73"/>
    </row>
    <row r="66" spans="1:5" ht="14.25">
      <c r="A66" s="247" t="s">
        <v>398</v>
      </c>
      <c r="B66" s="248"/>
      <c r="C66" s="257">
        <v>0</v>
      </c>
      <c r="D66" s="258" t="s">
        <v>370</v>
      </c>
    </row>
    <row r="67" spans="1:5" ht="14.25">
      <c r="A67" s="242"/>
      <c r="B67" s="134"/>
      <c r="C67" s="179"/>
      <c r="D67" s="256"/>
      <c r="E67" s="73"/>
    </row>
    <row r="68" spans="1:5" ht="14.25">
      <c r="A68" s="121" t="s">
        <v>399</v>
      </c>
      <c r="B68" s="91" t="s">
        <v>383</v>
      </c>
      <c r="C68" s="105">
        <v>600</v>
      </c>
      <c r="D68" s="106"/>
    </row>
    <row r="69" spans="1:5" ht="14.25">
      <c r="A69" s="242"/>
      <c r="B69" s="134"/>
      <c r="C69" s="179"/>
      <c r="D69" s="256"/>
      <c r="E69" s="73"/>
    </row>
    <row r="70" spans="1:5" ht="14.25">
      <c r="A70" s="121" t="s">
        <v>400</v>
      </c>
      <c r="B70" s="91" t="s">
        <v>383</v>
      </c>
      <c r="C70" s="105">
        <v>6377</v>
      </c>
      <c r="D70" s="106" t="s">
        <v>384</v>
      </c>
    </row>
    <row r="71" spans="1:5" ht="14.25">
      <c r="A71" s="84"/>
      <c r="B71" s="86"/>
      <c r="C71" s="100"/>
      <c r="D71" s="101"/>
    </row>
    <row r="72" spans="1:5" ht="14.25">
      <c r="A72" s="84" t="s">
        <v>401</v>
      </c>
      <c r="B72" s="86" t="s">
        <v>375</v>
      </c>
      <c r="C72" s="100">
        <v>600</v>
      </c>
      <c r="D72" s="101"/>
    </row>
    <row r="73" spans="1:5" ht="14.25">
      <c r="A73" s="84" t="s">
        <v>401</v>
      </c>
      <c r="B73" s="86" t="s">
        <v>178</v>
      </c>
      <c r="C73" s="100">
        <v>160</v>
      </c>
      <c r="D73" s="101"/>
    </row>
    <row r="74" spans="1:5" ht="14.25">
      <c r="A74" s="84" t="s">
        <v>401</v>
      </c>
      <c r="B74" s="86" t="s">
        <v>404</v>
      </c>
      <c r="C74" s="100">
        <v>60</v>
      </c>
      <c r="D74" s="101"/>
    </row>
    <row r="75" spans="1:5" ht="14.25">
      <c r="A75" s="84" t="s">
        <v>401</v>
      </c>
      <c r="B75" s="86" t="s">
        <v>373</v>
      </c>
      <c r="C75" s="100">
        <v>100</v>
      </c>
      <c r="D75" s="101"/>
    </row>
    <row r="76" spans="1:5" ht="14.25">
      <c r="A76" s="84"/>
      <c r="B76" s="86"/>
      <c r="C76" s="100"/>
      <c r="D76" s="101"/>
    </row>
    <row r="77" spans="1:5" ht="14.25">
      <c r="A77" s="84" t="s">
        <v>402</v>
      </c>
      <c r="B77" s="86" t="s">
        <v>373</v>
      </c>
      <c r="C77" s="100">
        <v>70</v>
      </c>
      <c r="D77" s="101"/>
    </row>
    <row r="78" spans="1:5" ht="14.25">
      <c r="A78" s="84"/>
      <c r="B78" s="86"/>
      <c r="C78" s="100"/>
      <c r="D78" s="101"/>
    </row>
    <row r="79" spans="1:5" ht="14.25">
      <c r="A79" s="84" t="s">
        <v>435</v>
      </c>
      <c r="B79" s="86" t="s">
        <v>404</v>
      </c>
      <c r="C79" s="100">
        <v>500</v>
      </c>
      <c r="D79" s="101"/>
    </row>
    <row r="80" spans="1:5" ht="14.25">
      <c r="A80" s="84" t="s">
        <v>435</v>
      </c>
      <c r="B80" s="86" t="s">
        <v>178</v>
      </c>
      <c r="C80" s="100">
        <v>200</v>
      </c>
      <c r="D80" s="101"/>
    </row>
    <row r="81" spans="1:5" ht="14.25">
      <c r="A81" s="84" t="s">
        <v>435</v>
      </c>
      <c r="B81" s="86" t="s">
        <v>373</v>
      </c>
      <c r="C81" s="100">
        <v>2000</v>
      </c>
      <c r="D81" s="101"/>
    </row>
    <row r="82" spans="1:5" ht="14.25">
      <c r="A82" s="84" t="s">
        <v>435</v>
      </c>
      <c r="B82" s="86" t="s">
        <v>395</v>
      </c>
      <c r="C82" s="100">
        <v>100</v>
      </c>
      <c r="D82" s="101"/>
    </row>
    <row r="83" spans="1:5" ht="14.25">
      <c r="A83" s="84" t="s">
        <v>435</v>
      </c>
      <c r="B83" s="86" t="s">
        <v>374</v>
      </c>
      <c r="C83" s="100">
        <v>400</v>
      </c>
      <c r="D83" s="101"/>
    </row>
    <row r="84" spans="1:5" ht="14.25">
      <c r="A84" s="84"/>
      <c r="B84" s="86"/>
      <c r="C84" s="100"/>
      <c r="D84" s="101"/>
    </row>
    <row r="85" spans="1:5" ht="14.25">
      <c r="A85" s="84" t="s">
        <v>405</v>
      </c>
      <c r="B85" s="86" t="s">
        <v>395</v>
      </c>
      <c r="C85" s="100">
        <v>600</v>
      </c>
      <c r="D85" s="101"/>
    </row>
    <row r="86" spans="1:5" ht="14.25">
      <c r="A86" s="84" t="s">
        <v>405</v>
      </c>
      <c r="B86" s="86" t="s">
        <v>404</v>
      </c>
      <c r="C86" s="100">
        <v>500</v>
      </c>
      <c r="D86" s="101"/>
    </row>
    <row r="87" spans="1:5" ht="14.25">
      <c r="A87" s="84" t="s">
        <v>405</v>
      </c>
      <c r="B87" s="86" t="s">
        <v>178</v>
      </c>
      <c r="C87" s="100">
        <v>450</v>
      </c>
      <c r="D87" s="101"/>
    </row>
    <row r="88" spans="1:5" ht="14.25">
      <c r="A88" s="84" t="s">
        <v>405</v>
      </c>
      <c r="B88" s="86" t="s">
        <v>373</v>
      </c>
      <c r="C88" s="100">
        <v>850</v>
      </c>
      <c r="D88" s="101"/>
    </row>
    <row r="89" spans="1:5" ht="14.25">
      <c r="A89" s="84"/>
      <c r="B89" s="86"/>
      <c r="C89" s="100"/>
      <c r="D89" s="101"/>
    </row>
    <row r="90" spans="1:5" ht="14.25">
      <c r="A90" s="247" t="s">
        <v>406</v>
      </c>
      <c r="B90" s="248"/>
      <c r="C90" s="257">
        <v>0</v>
      </c>
      <c r="D90" s="258" t="s">
        <v>370</v>
      </c>
    </row>
    <row r="91" spans="1:5" ht="14.25">
      <c r="A91" s="242"/>
      <c r="B91" s="134"/>
      <c r="C91" s="179"/>
      <c r="D91" s="256"/>
      <c r="E91" s="73"/>
    </row>
    <row r="92" spans="1:5" ht="14.25">
      <c r="A92" s="84" t="s">
        <v>407</v>
      </c>
      <c r="B92" s="86" t="s">
        <v>395</v>
      </c>
      <c r="C92" s="100">
        <v>1200</v>
      </c>
      <c r="D92" s="101"/>
    </row>
    <row r="93" spans="1:5" ht="14.25">
      <c r="A93" s="84" t="s">
        <v>407</v>
      </c>
      <c r="B93" s="86" t="s">
        <v>404</v>
      </c>
      <c r="C93" s="100">
        <v>800</v>
      </c>
      <c r="D93" s="101"/>
    </row>
    <row r="94" spans="1:5" ht="14.25">
      <c r="A94" s="84" t="s">
        <v>407</v>
      </c>
      <c r="B94" s="86" t="s">
        <v>374</v>
      </c>
      <c r="C94" s="100">
        <v>1287.72</v>
      </c>
      <c r="D94" s="101"/>
    </row>
    <row r="95" spans="1:5" ht="14.25">
      <c r="A95" s="84"/>
      <c r="B95" s="86"/>
      <c r="C95" s="100"/>
      <c r="D95" s="101"/>
    </row>
    <row r="96" spans="1:5" ht="14.25">
      <c r="A96" s="84" t="s">
        <v>408</v>
      </c>
      <c r="B96" s="86" t="s">
        <v>404</v>
      </c>
      <c r="C96" s="100">
        <v>320</v>
      </c>
      <c r="D96" s="101"/>
    </row>
    <row r="97" spans="1:5" ht="14.25">
      <c r="A97" s="84" t="s">
        <v>408</v>
      </c>
      <c r="B97" s="86" t="s">
        <v>396</v>
      </c>
      <c r="C97" s="100">
        <v>730</v>
      </c>
      <c r="D97" s="101"/>
    </row>
    <row r="98" spans="1:5" ht="14.25">
      <c r="A98" s="84"/>
      <c r="B98" s="86"/>
      <c r="C98" s="100"/>
      <c r="D98" s="101"/>
    </row>
    <row r="99" spans="1:5" ht="13.15">
      <c r="A99" s="99"/>
      <c r="B99" s="102" t="s">
        <v>4</v>
      </c>
      <c r="C99" s="103">
        <f>SUM(C9:F98)</f>
        <v>55430.65</v>
      </c>
      <c r="D99" s="102"/>
    </row>
    <row r="100" spans="1:5" ht="21">
      <c r="A100" s="80" t="s">
        <v>110</v>
      </c>
      <c r="B100" s="81" t="s">
        <v>7</v>
      </c>
      <c r="C100" s="104"/>
      <c r="D100" s="104"/>
    </row>
    <row r="101" spans="1:5" ht="14.25">
      <c r="A101" s="195" t="s">
        <v>110</v>
      </c>
      <c r="B101" s="82" t="s">
        <v>113</v>
      </c>
      <c r="C101" s="82" t="s">
        <v>2</v>
      </c>
      <c r="D101" s="82" t="s">
        <v>26</v>
      </c>
    </row>
    <row r="102" spans="1:5" ht="14.25">
      <c r="A102" s="121" t="s">
        <v>365</v>
      </c>
      <c r="B102" s="85" t="s">
        <v>383</v>
      </c>
      <c r="C102" s="286">
        <v>945</v>
      </c>
      <c r="D102" s="85" t="s">
        <v>409</v>
      </c>
    </row>
    <row r="103" spans="1:5" ht="14.25">
      <c r="A103" s="242"/>
      <c r="B103" s="88"/>
      <c r="C103" s="259"/>
      <c r="D103" s="88"/>
      <c r="E103" s="73"/>
    </row>
    <row r="104" spans="1:5" ht="14.25">
      <c r="A104" s="121" t="s">
        <v>366</v>
      </c>
      <c r="B104" s="287" t="s">
        <v>383</v>
      </c>
      <c r="C104" s="286">
        <v>1615</v>
      </c>
      <c r="D104" s="85"/>
    </row>
    <row r="105" spans="1:5" ht="14.25">
      <c r="A105" s="84"/>
      <c r="B105" s="260"/>
      <c r="C105" s="116"/>
      <c r="D105" s="87"/>
    </row>
    <row r="106" spans="1:5" ht="14.25">
      <c r="A106" s="121" t="s">
        <v>367</v>
      </c>
      <c r="B106" s="85" t="s">
        <v>383</v>
      </c>
      <c r="C106" s="286">
        <v>1310.56</v>
      </c>
      <c r="D106" s="85"/>
    </row>
    <row r="107" spans="1:5" ht="14.25">
      <c r="A107" s="84"/>
      <c r="B107" s="88"/>
      <c r="C107" s="116"/>
      <c r="D107" s="87"/>
    </row>
    <row r="108" spans="1:5" ht="14.25">
      <c r="A108" s="121" t="s">
        <v>368</v>
      </c>
      <c r="B108" s="85" t="s">
        <v>383</v>
      </c>
      <c r="C108" s="286">
        <v>830</v>
      </c>
      <c r="D108" s="85"/>
    </row>
    <row r="109" spans="1:5" ht="14.25">
      <c r="A109" s="84"/>
      <c r="B109" s="88"/>
      <c r="C109" s="116"/>
      <c r="D109" s="87"/>
    </row>
    <row r="110" spans="1:5" ht="14.25">
      <c r="A110" s="247" t="s">
        <v>369</v>
      </c>
      <c r="B110" s="261" t="s">
        <v>172</v>
      </c>
      <c r="C110" s="262">
        <v>1090.9000000000001</v>
      </c>
      <c r="D110" s="261" t="s">
        <v>370</v>
      </c>
    </row>
    <row r="111" spans="1:5" ht="14.25">
      <c r="A111" s="242"/>
      <c r="B111" s="88"/>
      <c r="C111" s="259"/>
      <c r="D111" s="88"/>
      <c r="E111" s="73"/>
    </row>
    <row r="112" spans="1:5" ht="14.25">
      <c r="A112" s="84" t="s">
        <v>371</v>
      </c>
      <c r="B112" s="87" t="s">
        <v>413</v>
      </c>
      <c r="C112" s="116">
        <v>640</v>
      </c>
      <c r="D112" s="127"/>
    </row>
    <row r="113" spans="1:4" ht="14.25">
      <c r="A113" s="84" t="s">
        <v>371</v>
      </c>
      <c r="B113" s="87" t="s">
        <v>415</v>
      </c>
      <c r="C113" s="116">
        <v>120</v>
      </c>
      <c r="D113" s="127"/>
    </row>
    <row r="114" spans="1:4" ht="14.25">
      <c r="A114" s="84" t="s">
        <v>371</v>
      </c>
      <c r="B114" s="87" t="s">
        <v>148</v>
      </c>
      <c r="C114" s="116">
        <v>490</v>
      </c>
      <c r="D114" s="127"/>
    </row>
    <row r="115" spans="1:4" ht="14.25">
      <c r="A115" s="84" t="s">
        <v>371</v>
      </c>
      <c r="B115" s="87" t="s">
        <v>119</v>
      </c>
      <c r="C115" s="116">
        <v>410</v>
      </c>
      <c r="D115" s="127"/>
    </row>
    <row r="116" spans="1:4" ht="14.25">
      <c r="A116" s="84" t="s">
        <v>371</v>
      </c>
      <c r="B116" s="87" t="s">
        <v>410</v>
      </c>
      <c r="C116" s="116">
        <v>7</v>
      </c>
      <c r="D116" s="127"/>
    </row>
    <row r="117" spans="1:4" ht="14.25">
      <c r="A117" s="84" t="s">
        <v>371</v>
      </c>
      <c r="B117" s="87" t="s">
        <v>411</v>
      </c>
      <c r="C117" s="116">
        <v>170</v>
      </c>
      <c r="D117" s="127"/>
    </row>
    <row r="118" spans="1:4" ht="14.25">
      <c r="A118" s="98"/>
      <c r="B118" s="87"/>
      <c r="C118" s="116"/>
      <c r="D118" s="127"/>
    </row>
    <row r="119" spans="1:4" ht="14.25">
      <c r="A119" s="98" t="s">
        <v>412</v>
      </c>
      <c r="B119" s="87" t="s">
        <v>148</v>
      </c>
      <c r="C119" s="116">
        <v>700</v>
      </c>
      <c r="D119" s="127"/>
    </row>
    <row r="120" spans="1:4" ht="13.15">
      <c r="A120" s="98" t="s">
        <v>412</v>
      </c>
      <c r="B120" s="127" t="s">
        <v>413</v>
      </c>
      <c r="C120" s="116">
        <v>340</v>
      </c>
      <c r="D120" s="127"/>
    </row>
    <row r="121" spans="1:4" ht="13.15">
      <c r="A121" s="98" t="s">
        <v>412</v>
      </c>
      <c r="B121" s="127" t="s">
        <v>414</v>
      </c>
      <c r="C121" s="116">
        <v>24</v>
      </c>
      <c r="D121" s="127"/>
    </row>
    <row r="122" spans="1:4" ht="13.15">
      <c r="A122" s="98" t="s">
        <v>412</v>
      </c>
      <c r="B122" s="127" t="s">
        <v>119</v>
      </c>
      <c r="C122" s="116">
        <v>730</v>
      </c>
      <c r="D122" s="127"/>
    </row>
    <row r="123" spans="1:4" ht="13.15">
      <c r="A123" s="98" t="s">
        <v>412</v>
      </c>
      <c r="B123" s="288" t="s">
        <v>121</v>
      </c>
      <c r="C123" s="264">
        <v>800</v>
      </c>
      <c r="D123" s="263"/>
    </row>
    <row r="124" spans="1:4" ht="13.15">
      <c r="A124" s="98" t="s">
        <v>412</v>
      </c>
      <c r="B124" s="263" t="s">
        <v>415</v>
      </c>
      <c r="C124" s="264">
        <v>150</v>
      </c>
      <c r="D124" s="263"/>
    </row>
    <row r="125" spans="1:4" ht="13.15">
      <c r="A125" s="98" t="s">
        <v>412</v>
      </c>
      <c r="B125" s="288" t="s">
        <v>416</v>
      </c>
      <c r="C125" s="264">
        <v>220</v>
      </c>
      <c r="D125" s="263"/>
    </row>
    <row r="126" spans="1:4" ht="13.15">
      <c r="A126" s="98" t="s">
        <v>412</v>
      </c>
      <c r="B126" s="263" t="s">
        <v>417</v>
      </c>
      <c r="C126" s="264">
        <v>30</v>
      </c>
      <c r="D126" s="263"/>
    </row>
    <row r="127" spans="1:4">
      <c r="B127" s="263"/>
      <c r="C127" s="264"/>
      <c r="D127" s="263"/>
    </row>
    <row r="128" spans="1:4">
      <c r="A128" t="s">
        <v>376</v>
      </c>
      <c r="B128" s="288" t="s">
        <v>416</v>
      </c>
      <c r="C128" s="264">
        <v>300</v>
      </c>
      <c r="D128" s="263"/>
    </row>
    <row r="129" spans="1:5">
      <c r="A129" t="s">
        <v>376</v>
      </c>
      <c r="B129" s="263" t="s">
        <v>119</v>
      </c>
      <c r="C129" s="264">
        <v>200</v>
      </c>
      <c r="D129" s="263"/>
    </row>
    <row r="130" spans="1:5">
      <c r="A130" t="s">
        <v>376</v>
      </c>
      <c r="B130" s="263" t="s">
        <v>417</v>
      </c>
      <c r="C130" s="264">
        <v>50</v>
      </c>
      <c r="D130" s="263"/>
    </row>
    <row r="131" spans="1:5">
      <c r="B131" s="263"/>
      <c r="C131" s="264"/>
      <c r="D131" s="263"/>
    </row>
    <row r="132" spans="1:5">
      <c r="A132" s="265" t="s">
        <v>378</v>
      </c>
      <c r="B132" s="290" t="s">
        <v>172</v>
      </c>
      <c r="C132" s="272">
        <v>1272.46</v>
      </c>
      <c r="D132" s="290" t="s">
        <v>370</v>
      </c>
    </row>
    <row r="133" spans="1:5">
      <c r="A133" s="73"/>
      <c r="B133" s="267"/>
      <c r="C133" s="268"/>
      <c r="D133" s="267"/>
      <c r="E133" s="73"/>
    </row>
    <row r="134" spans="1:5">
      <c r="A134" s="73" t="s">
        <v>380</v>
      </c>
      <c r="B134" s="267" t="s">
        <v>148</v>
      </c>
      <c r="C134" s="268">
        <v>450</v>
      </c>
      <c r="D134" s="267" t="s">
        <v>418</v>
      </c>
    </row>
    <row r="135" spans="1:5">
      <c r="A135" s="73"/>
      <c r="B135" s="267" t="s">
        <v>119</v>
      </c>
      <c r="C135" s="268">
        <v>185</v>
      </c>
      <c r="D135" s="267"/>
    </row>
    <row r="136" spans="1:5">
      <c r="A136" s="73"/>
      <c r="B136" s="267" t="s">
        <v>309</v>
      </c>
      <c r="C136" s="268">
        <v>225</v>
      </c>
      <c r="D136" s="267"/>
    </row>
    <row r="137" spans="1:5">
      <c r="A137" s="73"/>
      <c r="B137" s="267" t="s">
        <v>416</v>
      </c>
      <c r="C137" s="268">
        <v>3150</v>
      </c>
      <c r="D137" s="267"/>
    </row>
    <row r="138" spans="1:5">
      <c r="A138" s="73"/>
      <c r="B138" s="267"/>
      <c r="C138" s="268"/>
      <c r="D138" s="267"/>
      <c r="E138" s="73"/>
    </row>
    <row r="139" spans="1:5">
      <c r="A139" s="73" t="s">
        <v>381</v>
      </c>
      <c r="B139" s="296" t="s">
        <v>148</v>
      </c>
      <c r="C139" s="268">
        <v>60</v>
      </c>
      <c r="D139" s="267"/>
    </row>
    <row r="140" spans="1:5">
      <c r="A140" s="73"/>
      <c r="B140" s="296" t="s">
        <v>119</v>
      </c>
      <c r="C140" s="268">
        <v>300</v>
      </c>
      <c r="D140" s="267"/>
    </row>
    <row r="141" spans="1:5">
      <c r="A141" s="73"/>
      <c r="B141" s="296" t="s">
        <v>121</v>
      </c>
      <c r="C141" s="268">
        <v>100</v>
      </c>
      <c r="D141" s="267"/>
    </row>
    <row r="142" spans="1:5">
      <c r="A142" s="73"/>
      <c r="B142" s="267"/>
      <c r="C142" s="268"/>
      <c r="D142" s="267"/>
      <c r="E142" s="73"/>
    </row>
    <row r="143" spans="1:5">
      <c r="A143" s="236" t="s">
        <v>382</v>
      </c>
      <c r="B143" s="295" t="s">
        <v>383</v>
      </c>
      <c r="C143" s="270">
        <f>8540-900</f>
        <v>7640</v>
      </c>
      <c r="D143" s="269" t="s">
        <v>419</v>
      </c>
    </row>
    <row r="144" spans="1:5">
      <c r="A144" s="73"/>
      <c r="B144" s="267"/>
      <c r="C144" s="268"/>
      <c r="D144" s="267"/>
      <c r="E144" s="73"/>
    </row>
    <row r="145" spans="1:4">
      <c r="A145" t="s">
        <v>420</v>
      </c>
      <c r="B145" s="288" t="s">
        <v>148</v>
      </c>
      <c r="C145" s="264">
        <v>180</v>
      </c>
      <c r="D145" s="263"/>
    </row>
    <row r="146" spans="1:4">
      <c r="A146" t="s">
        <v>420</v>
      </c>
      <c r="B146" s="288" t="s">
        <v>119</v>
      </c>
      <c r="C146" s="264">
        <v>475</v>
      </c>
      <c r="D146" s="263"/>
    </row>
    <row r="147" spans="1:4">
      <c r="A147" t="s">
        <v>420</v>
      </c>
      <c r="B147" s="288" t="s">
        <v>309</v>
      </c>
      <c r="C147" s="264">
        <v>10</v>
      </c>
      <c r="D147" s="263"/>
    </row>
    <row r="148" spans="1:4">
      <c r="B148" s="263"/>
      <c r="C148" s="264"/>
      <c r="D148" s="263"/>
    </row>
    <row r="149" spans="1:4">
      <c r="A149" t="s">
        <v>386</v>
      </c>
      <c r="B149" s="263" t="s">
        <v>119</v>
      </c>
      <c r="C149" s="264">
        <v>435</v>
      </c>
      <c r="D149" s="263"/>
    </row>
    <row r="150" spans="1:4">
      <c r="A150" t="s">
        <v>386</v>
      </c>
      <c r="B150" s="288" t="s">
        <v>309</v>
      </c>
      <c r="C150" s="264">
        <v>250</v>
      </c>
      <c r="D150" s="263"/>
    </row>
    <row r="151" spans="1:4">
      <c r="A151" t="s">
        <v>386</v>
      </c>
      <c r="B151" s="288" t="s">
        <v>148</v>
      </c>
      <c r="C151" s="264">
        <v>150</v>
      </c>
      <c r="D151" s="263"/>
    </row>
    <row r="152" spans="1:4">
      <c r="B152" s="263"/>
      <c r="C152" s="264"/>
      <c r="D152" s="263"/>
    </row>
    <row r="153" spans="1:4">
      <c r="A153" t="s">
        <v>387</v>
      </c>
      <c r="B153" s="263" t="s">
        <v>414</v>
      </c>
      <c r="C153" s="264">
        <v>127.5</v>
      </c>
      <c r="D153" s="263"/>
    </row>
    <row r="154" spans="1:4">
      <c r="A154" t="s">
        <v>387</v>
      </c>
      <c r="B154" s="288" t="s">
        <v>416</v>
      </c>
      <c r="C154" s="264">
        <v>500</v>
      </c>
      <c r="D154" s="263"/>
    </row>
    <row r="155" spans="1:4">
      <c r="A155" t="s">
        <v>387</v>
      </c>
      <c r="B155" s="263" t="s">
        <v>119</v>
      </c>
      <c r="C155" s="264">
        <v>353.59</v>
      </c>
      <c r="D155" s="263"/>
    </row>
    <row r="156" spans="1:4">
      <c r="A156" t="s">
        <v>387</v>
      </c>
      <c r="B156" s="288" t="s">
        <v>148</v>
      </c>
      <c r="C156" s="264">
        <v>380</v>
      </c>
      <c r="D156" s="263"/>
    </row>
    <row r="157" spans="1:4">
      <c r="A157" t="s">
        <v>387</v>
      </c>
      <c r="B157" s="263" t="s">
        <v>415</v>
      </c>
      <c r="C157" s="264">
        <v>21.79</v>
      </c>
      <c r="D157" s="263"/>
    </row>
    <row r="158" spans="1:4">
      <c r="A158" t="s">
        <v>387</v>
      </c>
      <c r="B158" s="263" t="s">
        <v>121</v>
      </c>
      <c r="C158" s="264">
        <v>2480</v>
      </c>
      <c r="D158" s="263"/>
    </row>
    <row r="159" spans="1:4">
      <c r="A159" t="s">
        <v>387</v>
      </c>
      <c r="B159" s="288" t="s">
        <v>309</v>
      </c>
      <c r="C159" s="264">
        <v>600</v>
      </c>
      <c r="D159" s="263"/>
    </row>
    <row r="160" spans="1:4">
      <c r="A160" t="s">
        <v>387</v>
      </c>
      <c r="B160" s="289" t="s">
        <v>410</v>
      </c>
      <c r="C160" s="271">
        <v>51.74</v>
      </c>
      <c r="D160" s="263"/>
    </row>
    <row r="161" spans="1:5">
      <c r="A161" t="s">
        <v>387</v>
      </c>
      <c r="B161" s="263" t="s">
        <v>421</v>
      </c>
      <c r="C161" s="264">
        <v>210</v>
      </c>
      <c r="D161" s="263"/>
    </row>
    <row r="162" spans="1:5">
      <c r="B162" s="263"/>
      <c r="C162" s="264"/>
      <c r="D162" s="263"/>
    </row>
    <row r="163" spans="1:5">
      <c r="A163" t="s">
        <v>388</v>
      </c>
      <c r="B163" s="288" t="s">
        <v>148</v>
      </c>
      <c r="C163" s="264">
        <v>2432.2199999999998</v>
      </c>
      <c r="D163" s="263"/>
    </row>
    <row r="164" spans="1:5">
      <c r="A164" t="s">
        <v>388</v>
      </c>
      <c r="B164" s="263" t="s">
        <v>119</v>
      </c>
      <c r="C164" s="264">
        <v>1660</v>
      </c>
      <c r="D164" s="263"/>
    </row>
    <row r="165" spans="1:5">
      <c r="A165" t="s">
        <v>388</v>
      </c>
      <c r="B165" s="263" t="s">
        <v>415</v>
      </c>
      <c r="C165" s="264">
        <v>85</v>
      </c>
      <c r="D165" s="263"/>
    </row>
    <row r="166" spans="1:5">
      <c r="A166" t="s">
        <v>388</v>
      </c>
      <c r="B166" s="288" t="s">
        <v>309</v>
      </c>
      <c r="C166" s="264">
        <v>250</v>
      </c>
      <c r="D166" s="263"/>
    </row>
    <row r="167" spans="1:5">
      <c r="A167" t="s">
        <v>388</v>
      </c>
      <c r="B167" s="263" t="s">
        <v>134</v>
      </c>
      <c r="C167" s="264">
        <v>136.72</v>
      </c>
      <c r="D167" s="263"/>
    </row>
    <row r="168" spans="1:5">
      <c r="A168" t="s">
        <v>388</v>
      </c>
      <c r="B168" s="263" t="s">
        <v>417</v>
      </c>
      <c r="C168" s="264">
        <v>900</v>
      </c>
      <c r="D168" s="263"/>
    </row>
    <row r="169" spans="1:5">
      <c r="A169" t="s">
        <v>388</v>
      </c>
      <c r="B169" s="263" t="s">
        <v>414</v>
      </c>
      <c r="C169" s="264">
        <v>361.75</v>
      </c>
      <c r="D169" s="263"/>
    </row>
    <row r="170" spans="1:5">
      <c r="A170" t="s">
        <v>388</v>
      </c>
      <c r="B170" s="288" t="s">
        <v>416</v>
      </c>
      <c r="C170" s="264">
        <v>100</v>
      </c>
      <c r="D170" s="263"/>
    </row>
    <row r="171" spans="1:5">
      <c r="A171" t="s">
        <v>388</v>
      </c>
      <c r="B171" s="263" t="s">
        <v>121</v>
      </c>
      <c r="C171" s="264">
        <v>650</v>
      </c>
      <c r="D171" s="263"/>
    </row>
    <row r="172" spans="1:5">
      <c r="A172" s="73"/>
      <c r="B172" s="267"/>
      <c r="C172" s="268"/>
      <c r="D172" s="267"/>
      <c r="E172" s="73"/>
    </row>
    <row r="173" spans="1:5">
      <c r="A173" s="236" t="s">
        <v>389</v>
      </c>
      <c r="B173" s="295" t="s">
        <v>383</v>
      </c>
      <c r="C173" s="270">
        <v>550</v>
      </c>
      <c r="D173" s="269" t="s">
        <v>409</v>
      </c>
    </row>
    <row r="174" spans="1:5">
      <c r="A174" s="73"/>
      <c r="B174" s="296"/>
      <c r="C174" s="268"/>
      <c r="D174" s="267"/>
      <c r="E174" s="73"/>
    </row>
    <row r="175" spans="1:5">
      <c r="A175" s="236" t="s">
        <v>390</v>
      </c>
      <c r="B175" s="269" t="s">
        <v>383</v>
      </c>
      <c r="C175" s="270">
        <v>540</v>
      </c>
      <c r="D175" s="269" t="s">
        <v>422</v>
      </c>
    </row>
    <row r="176" spans="1:5">
      <c r="A176" s="73"/>
      <c r="B176" s="267"/>
      <c r="C176" s="268"/>
      <c r="D176" s="267"/>
      <c r="E176" s="73"/>
    </row>
    <row r="177" spans="1:5" ht="14.25">
      <c r="A177" s="84" t="s">
        <v>391</v>
      </c>
      <c r="B177" s="288" t="s">
        <v>148</v>
      </c>
      <c r="C177" s="264">
        <v>160</v>
      </c>
      <c r="D177" s="263"/>
    </row>
    <row r="178" spans="1:5" ht="14.25">
      <c r="A178" s="84" t="s">
        <v>391</v>
      </c>
      <c r="B178" s="263" t="s">
        <v>423</v>
      </c>
      <c r="C178" s="264">
        <v>350</v>
      </c>
      <c r="D178" s="263"/>
    </row>
    <row r="179" spans="1:5" ht="14.25">
      <c r="A179" s="84" t="s">
        <v>391</v>
      </c>
      <c r="B179" s="263" t="s">
        <v>121</v>
      </c>
      <c r="C179" s="264">
        <v>250</v>
      </c>
      <c r="D179" s="263"/>
    </row>
    <row r="180" spans="1:5" ht="14.25">
      <c r="A180" s="84"/>
      <c r="B180" s="263"/>
      <c r="C180" s="264"/>
      <c r="D180" s="263"/>
    </row>
    <row r="181" spans="1:5" ht="14.25">
      <c r="A181" s="247" t="s">
        <v>392</v>
      </c>
      <c r="B181" s="290" t="s">
        <v>172</v>
      </c>
      <c r="C181" s="272">
        <v>739.04</v>
      </c>
      <c r="D181" s="266" t="s">
        <v>370</v>
      </c>
    </row>
    <row r="182" spans="1:5" ht="14.25">
      <c r="A182" s="242"/>
      <c r="B182" s="267"/>
      <c r="C182" s="268"/>
      <c r="D182" s="267"/>
      <c r="E182" s="73"/>
    </row>
    <row r="183" spans="1:5" ht="14.25">
      <c r="A183" s="84" t="s">
        <v>394</v>
      </c>
      <c r="B183" s="288" t="s">
        <v>148</v>
      </c>
      <c r="C183" s="264">
        <v>950</v>
      </c>
      <c r="D183" s="263"/>
    </row>
    <row r="184" spans="1:5" ht="14.25">
      <c r="A184" s="84" t="s">
        <v>394</v>
      </c>
      <c r="B184" s="263" t="s">
        <v>423</v>
      </c>
      <c r="C184" s="264">
        <v>2410</v>
      </c>
      <c r="D184" s="263"/>
    </row>
    <row r="185" spans="1:5" ht="14.25">
      <c r="A185" s="84" t="s">
        <v>394</v>
      </c>
      <c r="B185" s="288" t="s">
        <v>134</v>
      </c>
      <c r="C185" s="264">
        <v>1205</v>
      </c>
      <c r="D185" s="263"/>
    </row>
    <row r="186" spans="1:5" ht="14.25">
      <c r="A186" s="84" t="s">
        <v>394</v>
      </c>
      <c r="B186" s="288" t="s">
        <v>309</v>
      </c>
      <c r="C186" s="264">
        <v>2535</v>
      </c>
      <c r="D186" s="263"/>
    </row>
    <row r="187" spans="1:5" ht="14.25">
      <c r="A187" s="84" t="s">
        <v>394</v>
      </c>
      <c r="B187" s="288" t="s">
        <v>415</v>
      </c>
      <c r="C187" s="264">
        <v>120</v>
      </c>
      <c r="D187" s="263"/>
    </row>
    <row r="188" spans="1:5" ht="14.25">
      <c r="A188" s="84" t="s">
        <v>394</v>
      </c>
      <c r="B188" s="263" t="s">
        <v>121</v>
      </c>
      <c r="C188" s="264">
        <v>3493.99</v>
      </c>
      <c r="D188" s="263"/>
    </row>
    <row r="189" spans="1:5" ht="14.25">
      <c r="A189" s="84" t="s">
        <v>394</v>
      </c>
      <c r="B189" s="288" t="s">
        <v>413</v>
      </c>
      <c r="C189" s="264">
        <v>420</v>
      </c>
      <c r="D189" s="263"/>
    </row>
    <row r="190" spans="1:5" ht="14.25">
      <c r="A190" s="84" t="s">
        <v>394</v>
      </c>
      <c r="B190" s="288" t="s">
        <v>417</v>
      </c>
      <c r="C190" s="264">
        <v>1335</v>
      </c>
      <c r="D190" s="263"/>
    </row>
    <row r="191" spans="1:5" ht="14.25">
      <c r="A191" s="84"/>
      <c r="B191" s="263"/>
      <c r="C191" s="264"/>
      <c r="D191" s="263"/>
    </row>
    <row r="192" spans="1:5" ht="14.25">
      <c r="A192" s="247" t="s">
        <v>397</v>
      </c>
      <c r="B192" s="290" t="s">
        <v>172</v>
      </c>
      <c r="C192" s="272">
        <f>4261.4+3500</f>
        <v>7761.4</v>
      </c>
      <c r="D192" s="266" t="s">
        <v>370</v>
      </c>
    </row>
    <row r="193" spans="1:5" ht="14.25">
      <c r="A193" s="242"/>
      <c r="B193" s="267"/>
      <c r="C193" s="268"/>
      <c r="D193" s="267"/>
      <c r="E193" s="73"/>
    </row>
    <row r="194" spans="1:5" ht="14.25">
      <c r="A194" s="247" t="s">
        <v>398</v>
      </c>
      <c r="B194" s="290" t="s">
        <v>172</v>
      </c>
      <c r="C194" s="272">
        <v>593.02</v>
      </c>
      <c r="D194" s="266" t="s">
        <v>393</v>
      </c>
    </row>
    <row r="195" spans="1:5" ht="14.25">
      <c r="A195" s="242"/>
      <c r="B195" s="267"/>
      <c r="C195" s="268"/>
      <c r="D195" s="267"/>
      <c r="E195" s="73"/>
    </row>
    <row r="196" spans="1:5" ht="14.25">
      <c r="A196" s="121" t="s">
        <v>399</v>
      </c>
      <c r="B196" s="269" t="s">
        <v>383</v>
      </c>
      <c r="C196" s="270">
        <f>1890-196.34</f>
        <v>1693.66</v>
      </c>
      <c r="D196" s="269" t="s">
        <v>409</v>
      </c>
    </row>
    <row r="197" spans="1:5" ht="14.25">
      <c r="A197" s="242"/>
      <c r="B197" s="267"/>
      <c r="C197" s="268"/>
      <c r="D197" s="267"/>
      <c r="E197" s="73"/>
    </row>
    <row r="198" spans="1:5" ht="14.25">
      <c r="A198" s="121" t="s">
        <v>400</v>
      </c>
      <c r="B198" s="269" t="s">
        <v>383</v>
      </c>
      <c r="C198" s="270">
        <f>12418.53-1090</f>
        <v>11328.53</v>
      </c>
      <c r="D198" s="269" t="s">
        <v>424</v>
      </c>
    </row>
    <row r="199" spans="1:5" ht="14.25">
      <c r="A199" s="242"/>
      <c r="B199" s="273"/>
      <c r="C199" s="274"/>
      <c r="D199" s="267"/>
      <c r="E199" s="73"/>
    </row>
    <row r="200" spans="1:5" ht="14.25">
      <c r="A200" s="84" t="s">
        <v>401</v>
      </c>
      <c r="B200" s="86" t="s">
        <v>148</v>
      </c>
      <c r="C200" s="100">
        <v>240</v>
      </c>
      <c r="D200" s="263"/>
    </row>
    <row r="201" spans="1:5" ht="14.25">
      <c r="A201" s="84" t="s">
        <v>401</v>
      </c>
      <c r="B201" s="86" t="s">
        <v>119</v>
      </c>
      <c r="C201" s="100">
        <v>700</v>
      </c>
      <c r="D201" s="263"/>
    </row>
    <row r="202" spans="1:5" ht="14.25">
      <c r="A202" s="84"/>
      <c r="B202" s="263"/>
      <c r="C202" s="264"/>
      <c r="D202" s="263"/>
    </row>
    <row r="203" spans="1:5" ht="14.25">
      <c r="A203" s="84" t="s">
        <v>519</v>
      </c>
      <c r="B203" s="263" t="s">
        <v>426</v>
      </c>
      <c r="C203" s="264">
        <v>170</v>
      </c>
      <c r="D203" s="263"/>
    </row>
    <row r="204" spans="1:5" ht="14.25">
      <c r="A204" s="84" t="s">
        <v>519</v>
      </c>
      <c r="B204" s="263" t="s">
        <v>119</v>
      </c>
      <c r="C204" s="264">
        <v>50</v>
      </c>
      <c r="D204" s="263"/>
    </row>
    <row r="205" spans="1:5" ht="14.25">
      <c r="A205" s="84" t="s">
        <v>519</v>
      </c>
      <c r="B205" s="263" t="s">
        <v>415</v>
      </c>
      <c r="C205" s="264">
        <v>24</v>
      </c>
      <c r="D205" s="263"/>
    </row>
    <row r="206" spans="1:5" ht="14.25">
      <c r="A206" s="84" t="s">
        <v>519</v>
      </c>
      <c r="B206" s="263" t="s">
        <v>411</v>
      </c>
      <c r="C206" s="264">
        <v>45</v>
      </c>
      <c r="D206" s="263"/>
    </row>
    <row r="207" spans="1:5" ht="14.25">
      <c r="A207" s="84" t="s">
        <v>519</v>
      </c>
      <c r="B207" s="263" t="s">
        <v>134</v>
      </c>
      <c r="C207" s="264">
        <v>50</v>
      </c>
      <c r="D207" s="263"/>
    </row>
    <row r="208" spans="1:5" ht="14.25">
      <c r="A208" s="84" t="s">
        <v>519</v>
      </c>
      <c r="B208" s="263" t="s">
        <v>417</v>
      </c>
      <c r="C208" s="264">
        <v>50</v>
      </c>
      <c r="D208" s="263"/>
    </row>
    <row r="209" spans="1:4" ht="14.25">
      <c r="A209" s="84" t="s">
        <v>519</v>
      </c>
      <c r="B209" s="263" t="s">
        <v>309</v>
      </c>
      <c r="C209" s="264">
        <v>150</v>
      </c>
      <c r="D209" s="263"/>
    </row>
    <row r="210" spans="1:4" ht="14.25">
      <c r="A210" s="84"/>
      <c r="B210" s="263"/>
      <c r="C210" s="264"/>
      <c r="D210" s="263"/>
    </row>
    <row r="211" spans="1:4" ht="14.25">
      <c r="A211" s="84" t="s">
        <v>403</v>
      </c>
      <c r="B211" s="288" t="s">
        <v>413</v>
      </c>
      <c r="C211" s="264">
        <v>340</v>
      </c>
      <c r="D211" s="263"/>
    </row>
    <row r="212" spans="1:4" ht="14.25">
      <c r="A212" s="84" t="s">
        <v>403</v>
      </c>
      <c r="B212" s="263" t="s">
        <v>119</v>
      </c>
      <c r="C212" s="264">
        <v>935</v>
      </c>
      <c r="D212" s="263"/>
    </row>
    <row r="213" spans="1:4" ht="14.25">
      <c r="A213" s="84" t="s">
        <v>403</v>
      </c>
      <c r="B213" s="288" t="s">
        <v>148</v>
      </c>
      <c r="C213" s="264">
        <v>250</v>
      </c>
      <c r="D213" s="263"/>
    </row>
    <row r="214" spans="1:4" ht="14.25">
      <c r="A214" s="84" t="s">
        <v>403</v>
      </c>
      <c r="B214" s="263" t="s">
        <v>425</v>
      </c>
      <c r="C214" s="264">
        <v>125</v>
      </c>
      <c r="D214" s="263"/>
    </row>
    <row r="215" spans="1:4" ht="14.25">
      <c r="A215" s="84" t="s">
        <v>403</v>
      </c>
      <c r="B215" s="263" t="s">
        <v>426</v>
      </c>
      <c r="C215" s="264">
        <v>2000</v>
      </c>
      <c r="D215" s="263"/>
    </row>
    <row r="216" spans="1:4" ht="14.25">
      <c r="A216" s="84"/>
      <c r="B216" s="263"/>
      <c r="C216" s="264"/>
      <c r="D216" s="263"/>
    </row>
    <row r="217" spans="1:4" ht="14.25">
      <c r="A217" s="84" t="s">
        <v>405</v>
      </c>
      <c r="B217" s="288" t="s">
        <v>426</v>
      </c>
      <c r="C217" s="264">
        <v>580</v>
      </c>
      <c r="D217" s="263"/>
    </row>
    <row r="218" spans="1:4" ht="14.25">
      <c r="A218" s="84" t="s">
        <v>405</v>
      </c>
      <c r="B218" s="263" t="s">
        <v>417</v>
      </c>
      <c r="C218" s="264">
        <v>50</v>
      </c>
      <c r="D218" s="263"/>
    </row>
    <row r="219" spans="1:4" ht="14.25">
      <c r="A219" s="84" t="s">
        <v>405</v>
      </c>
      <c r="B219" s="288" t="s">
        <v>416</v>
      </c>
      <c r="C219" s="264">
        <v>180</v>
      </c>
      <c r="D219" s="263"/>
    </row>
    <row r="220" spans="1:4" ht="14.25">
      <c r="A220" s="84" t="s">
        <v>405</v>
      </c>
      <c r="B220" s="288" t="s">
        <v>413</v>
      </c>
      <c r="C220" s="264">
        <v>300</v>
      </c>
      <c r="D220" s="263"/>
    </row>
    <row r="221" spans="1:4" ht="14.25">
      <c r="A221" s="84" t="s">
        <v>405</v>
      </c>
      <c r="B221" s="288" t="s">
        <v>309</v>
      </c>
      <c r="C221" s="264">
        <v>450</v>
      </c>
      <c r="D221" s="263"/>
    </row>
    <row r="222" spans="1:4" ht="14.25">
      <c r="A222" s="84" t="s">
        <v>405</v>
      </c>
      <c r="B222" s="288" t="s">
        <v>148</v>
      </c>
      <c r="C222" s="264">
        <v>510</v>
      </c>
      <c r="D222" s="263"/>
    </row>
    <row r="223" spans="1:4" ht="14.25">
      <c r="A223" s="84" t="s">
        <v>405</v>
      </c>
      <c r="B223" s="263" t="s">
        <v>119</v>
      </c>
      <c r="C223" s="264">
        <v>1225</v>
      </c>
      <c r="D223" s="263"/>
    </row>
    <row r="224" spans="1:4" ht="14.25">
      <c r="A224" s="84"/>
      <c r="B224" s="263"/>
      <c r="C224" s="264"/>
      <c r="D224" s="263"/>
    </row>
    <row r="225" spans="1:5" ht="14.25">
      <c r="A225" s="247" t="s">
        <v>406</v>
      </c>
      <c r="B225" s="290" t="s">
        <v>172</v>
      </c>
      <c r="C225" s="272">
        <v>572.16</v>
      </c>
      <c r="D225" s="266" t="s">
        <v>427</v>
      </c>
    </row>
    <row r="226" spans="1:5" ht="14.25">
      <c r="A226" s="242"/>
      <c r="B226" s="267"/>
      <c r="C226" s="268"/>
      <c r="D226" s="267"/>
      <c r="E226" s="73"/>
    </row>
    <row r="227" spans="1:5" ht="14.25">
      <c r="A227" s="84" t="s">
        <v>407</v>
      </c>
      <c r="B227" s="263" t="s">
        <v>417</v>
      </c>
      <c r="C227" s="264">
        <v>47.93</v>
      </c>
      <c r="D227" s="263"/>
    </row>
    <row r="228" spans="1:5" ht="14.25">
      <c r="A228" s="84" t="s">
        <v>407</v>
      </c>
      <c r="B228" s="288" t="s">
        <v>413</v>
      </c>
      <c r="C228" s="264">
        <v>480</v>
      </c>
      <c r="D228" s="263"/>
    </row>
    <row r="229" spans="1:5" ht="14.25">
      <c r="A229" s="84" t="s">
        <v>407</v>
      </c>
      <c r="B229" s="263" t="s">
        <v>154</v>
      </c>
      <c r="C229" s="264">
        <v>1621.11</v>
      </c>
      <c r="D229" s="263"/>
    </row>
    <row r="230" spans="1:5" ht="14.25">
      <c r="A230" s="84" t="s">
        <v>407</v>
      </c>
      <c r="B230" s="263" t="s">
        <v>411</v>
      </c>
      <c r="C230" s="264">
        <v>1410</v>
      </c>
      <c r="D230" s="263"/>
    </row>
    <row r="231" spans="1:5" ht="14.25">
      <c r="A231" s="84"/>
      <c r="B231" s="263"/>
      <c r="C231" s="264"/>
      <c r="D231" s="263"/>
    </row>
    <row r="232" spans="1:5" ht="14.25">
      <c r="A232" s="84" t="s">
        <v>408</v>
      </c>
      <c r="B232" s="288" t="s">
        <v>119</v>
      </c>
      <c r="C232" s="264">
        <v>1380</v>
      </c>
      <c r="D232" s="263"/>
    </row>
    <row r="233" spans="1:5" ht="14.25">
      <c r="A233" s="84" t="s">
        <v>408</v>
      </c>
      <c r="B233" s="288" t="s">
        <v>148</v>
      </c>
      <c r="C233" s="264">
        <v>300</v>
      </c>
      <c r="D233" s="263"/>
    </row>
    <row r="234" spans="1:5" ht="14.25">
      <c r="A234" s="84" t="s">
        <v>408</v>
      </c>
      <c r="B234" s="288" t="s">
        <v>413</v>
      </c>
      <c r="C234" s="264">
        <v>200</v>
      </c>
      <c r="D234" s="263"/>
    </row>
    <row r="235" spans="1:5" ht="14.25">
      <c r="A235" s="84" t="s">
        <v>408</v>
      </c>
      <c r="B235" s="263" t="s">
        <v>425</v>
      </c>
      <c r="C235" s="264">
        <v>30</v>
      </c>
      <c r="D235" s="263"/>
    </row>
    <row r="236" spans="1:5">
      <c r="B236" s="263"/>
      <c r="C236" s="264"/>
      <c r="D236" s="263"/>
    </row>
    <row r="237" spans="1:5">
      <c r="B237" s="263"/>
      <c r="C237" s="264"/>
      <c r="D237" s="263"/>
    </row>
    <row r="238" spans="1:5">
      <c r="B238" s="263"/>
      <c r="C238" s="264"/>
      <c r="D238" s="263"/>
    </row>
    <row r="239" spans="1:5">
      <c r="B239" s="263"/>
      <c r="C239" s="264"/>
      <c r="D239" s="263"/>
    </row>
    <row r="240" spans="1:5">
      <c r="B240" s="263"/>
      <c r="C240" s="264"/>
      <c r="D240" s="263"/>
    </row>
    <row r="241" spans="1:4">
      <c r="B241" s="263"/>
      <c r="C241" s="264"/>
      <c r="D241" s="263"/>
    </row>
    <row r="242" spans="1:4">
      <c r="B242" s="263"/>
      <c r="C242" s="264"/>
      <c r="D242" s="263"/>
    </row>
    <row r="243" spans="1:4">
      <c r="A243" s="194"/>
      <c r="B243" s="275" t="s">
        <v>15</v>
      </c>
      <c r="C243" s="276">
        <f>SUM(C102:C241)</f>
        <v>88255.07</v>
      </c>
      <c r="D243" s="275"/>
    </row>
    <row r="244" spans="1:4">
      <c r="B244" s="246"/>
      <c r="C244" s="246"/>
      <c r="D244" s="246"/>
    </row>
    <row r="245" spans="1:4" ht="21">
      <c r="A245" s="277"/>
      <c r="B245" s="93" t="s">
        <v>17</v>
      </c>
      <c r="C245" s="278">
        <f>C99-C243</f>
        <v>-32824.420000000006</v>
      </c>
      <c r="D245" s="279"/>
    </row>
    <row r="248" spans="1:4" ht="13.9">
      <c r="A248" s="181" t="s">
        <v>338</v>
      </c>
      <c r="B248" s="176" t="s">
        <v>441</v>
      </c>
    </row>
    <row r="249" spans="1:4">
      <c r="B249" s="176" t="s">
        <v>438</v>
      </c>
    </row>
    <row r="250" spans="1:4">
      <c r="B250" s="316" t="s">
        <v>487</v>
      </c>
    </row>
    <row r="251" spans="1:4">
      <c r="B251" s="316" t="s">
        <v>488</v>
      </c>
    </row>
    <row r="252" spans="1:4">
      <c r="B252" s="316" t="s">
        <v>489</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C8113D-20A5-4B0B-A9B6-B3BAD81F5988}">
  <sheetPr>
    <tabColor rgb="FF92D050"/>
  </sheetPr>
  <dimension ref="A1:N34"/>
  <sheetViews>
    <sheetView zoomScale="60" zoomScaleNormal="60" workbookViewId="0">
      <selection activeCell="S20" sqref="S20"/>
    </sheetView>
  </sheetViews>
  <sheetFormatPr defaultRowHeight="12.75"/>
  <cols>
    <col min="1" max="1" width="18.06640625" bestFit="1" customWidth="1"/>
    <col min="2" max="2" width="13" bestFit="1" customWidth="1"/>
    <col min="3" max="3" width="12.33203125" bestFit="1" customWidth="1"/>
    <col min="4" max="4" width="13" bestFit="1" customWidth="1"/>
    <col min="5" max="6" width="13.1328125" bestFit="1" customWidth="1"/>
    <col min="7" max="7" width="13.3984375" bestFit="1" customWidth="1"/>
    <col min="8" max="8" width="13.1328125" bestFit="1" customWidth="1"/>
    <col min="9" max="9" width="13.796875" bestFit="1" customWidth="1"/>
    <col min="10" max="10" width="14.06640625" bestFit="1" customWidth="1"/>
    <col min="11" max="11" width="14.46484375" bestFit="1" customWidth="1"/>
    <col min="12" max="12" width="13.6640625" bestFit="1" customWidth="1"/>
    <col min="13" max="13" width="14.06640625" bestFit="1" customWidth="1"/>
    <col min="14" max="14" width="14.33203125" bestFit="1" customWidth="1"/>
  </cols>
  <sheetData>
    <row r="1" spans="1:14" ht="25.15">
      <c r="A1" s="211" t="s">
        <v>321</v>
      </c>
    </row>
    <row r="4" spans="1:14">
      <c r="A4" s="176" t="s">
        <v>352</v>
      </c>
      <c r="J4" s="235" t="s">
        <v>12</v>
      </c>
      <c r="K4" s="236"/>
      <c r="L4" s="236"/>
      <c r="M4" s="236"/>
      <c r="N4" s="280"/>
    </row>
    <row r="5" spans="1:14">
      <c r="J5" s="236"/>
      <c r="K5" s="236"/>
      <c r="L5" s="236"/>
      <c r="M5" s="236"/>
      <c r="N5" s="280"/>
    </row>
    <row r="6" spans="1:14" ht="13.15">
      <c r="A6" s="180" t="s">
        <v>351</v>
      </c>
      <c r="B6" s="180">
        <v>2012</v>
      </c>
      <c r="C6" s="180">
        <v>2013</v>
      </c>
      <c r="D6" s="180">
        <v>2014</v>
      </c>
      <c r="E6" s="180">
        <v>2015</v>
      </c>
      <c r="F6" s="180">
        <v>2016</v>
      </c>
      <c r="G6" s="180">
        <v>2017</v>
      </c>
      <c r="H6" s="180">
        <v>2018</v>
      </c>
      <c r="I6" s="180">
        <v>2019</v>
      </c>
      <c r="J6" s="237">
        <v>2020</v>
      </c>
      <c r="K6" s="237">
        <v>2021</v>
      </c>
      <c r="L6" s="237">
        <v>2022</v>
      </c>
      <c r="M6" s="237">
        <v>2023</v>
      </c>
      <c r="N6" s="281">
        <v>2024</v>
      </c>
    </row>
    <row r="7" spans="1:14" ht="13.15">
      <c r="A7" s="180" t="s">
        <v>363</v>
      </c>
      <c r="B7" s="120">
        <v>632156</v>
      </c>
      <c r="C7" s="120">
        <v>757547</v>
      </c>
      <c r="D7" s="120">
        <v>800977</v>
      </c>
      <c r="E7" s="120">
        <v>785316</v>
      </c>
      <c r="F7" s="238">
        <v>833653</v>
      </c>
      <c r="G7" s="238">
        <v>863699</v>
      </c>
      <c r="H7" s="238">
        <v>931150</v>
      </c>
      <c r="I7" s="238">
        <v>1070194</v>
      </c>
      <c r="J7" s="239">
        <f>'2) AUS Operating Summary'!B16</f>
        <v>1107875.3899999999</v>
      </c>
      <c r="K7" s="239">
        <f>'14) Revenue Projections'!C11</f>
        <v>1115962.6293620144</v>
      </c>
      <c r="L7" s="239">
        <f>'14) Revenue Projections'!D12</f>
        <v>1082277.2590410141</v>
      </c>
      <c r="M7" s="239">
        <f>'14) Revenue Projections'!E13</f>
        <v>1306858.6613066886</v>
      </c>
      <c r="N7" s="239">
        <f>'14) Revenue Projections'!C14</f>
        <v>1272731.8699570741</v>
      </c>
    </row>
    <row r="8" spans="1:14" ht="13.15">
      <c r="A8" s="180" t="s">
        <v>364</v>
      </c>
      <c r="B8" s="120">
        <v>631409</v>
      </c>
      <c r="C8" s="120">
        <v>714791</v>
      </c>
      <c r="D8" s="120">
        <v>643731</v>
      </c>
      <c r="E8" s="120">
        <v>799206</v>
      </c>
      <c r="F8" s="238">
        <v>802456</v>
      </c>
      <c r="G8" s="238">
        <v>834823</v>
      </c>
      <c r="H8" s="238">
        <v>933065</v>
      </c>
      <c r="I8" s="238">
        <v>933065</v>
      </c>
      <c r="J8" s="239">
        <f>'2) AUS Operating Summary'!B32</f>
        <v>1118144.49</v>
      </c>
      <c r="K8" s="239">
        <f>'15) Expense Projections'!C11</f>
        <v>1042519.35841484</v>
      </c>
      <c r="L8" s="239">
        <f>'15) Expense Projections'!C12</f>
        <v>1196910.8162081006</v>
      </c>
      <c r="M8" s="239">
        <f>'15) Expense Projections'!C13</f>
        <v>1146281.2741592193</v>
      </c>
      <c r="N8" s="239">
        <f>'15) Expense Projections'!C14</f>
        <v>1300672.7319524798</v>
      </c>
    </row>
    <row r="9" spans="1:14">
      <c r="A9" s="176"/>
    </row>
    <row r="33" spans="1:2" ht="13.15">
      <c r="A33" s="180" t="s">
        <v>338</v>
      </c>
      <c r="B33" s="176" t="s">
        <v>439</v>
      </c>
    </row>
    <row r="34" spans="1:2">
      <c r="B34" s="176" t="s">
        <v>440</v>
      </c>
    </row>
  </sheetData>
  <pageMargins left="0.7" right="0.7" top="0.75" bottom="0.75" header="0.3" footer="0.3"/>
  <drawing r:id="rId1"/>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19A76F-CDCB-48F4-90C4-39BB09FACB3C}">
  <sheetPr>
    <tabColor rgb="FF92D050"/>
  </sheetPr>
  <dimension ref="A1:H14"/>
  <sheetViews>
    <sheetView zoomScale="70" zoomScaleNormal="70" workbookViewId="0">
      <selection activeCell="B11" sqref="B11"/>
    </sheetView>
  </sheetViews>
  <sheetFormatPr defaultRowHeight="12.75"/>
  <cols>
    <col min="1" max="1" width="12.1328125" customWidth="1"/>
    <col min="2" max="2" width="17.86328125" customWidth="1"/>
    <col min="3" max="3" width="26.1328125" customWidth="1"/>
    <col min="4" max="4" width="40.3984375" customWidth="1"/>
    <col min="5" max="5" width="40.1328125" customWidth="1"/>
    <col min="7" max="7" width="9.46484375" customWidth="1"/>
    <col min="8" max="8" width="7.73046875" customWidth="1"/>
  </cols>
  <sheetData>
    <row r="1" spans="1:8">
      <c r="A1" t="s">
        <v>351</v>
      </c>
      <c r="B1" t="s">
        <v>363</v>
      </c>
      <c r="C1" t="s">
        <v>432</v>
      </c>
      <c r="D1" t="s">
        <v>433</v>
      </c>
      <c r="E1" t="s">
        <v>434</v>
      </c>
      <c r="G1" t="s">
        <v>353</v>
      </c>
      <c r="H1" t="s">
        <v>354</v>
      </c>
    </row>
    <row r="2" spans="1:8">
      <c r="A2" s="233">
        <v>2012</v>
      </c>
      <c r="B2" s="40">
        <v>632156</v>
      </c>
      <c r="G2" t="s">
        <v>355</v>
      </c>
      <c r="H2" s="234">
        <f>_xlfn.FORECAST.ETS.STAT($B$2:$B$10,$A$2:$A$10,1,1,1)</f>
        <v>0.1</v>
      </c>
    </row>
    <row r="3" spans="1:8">
      <c r="A3" s="233">
        <v>2013</v>
      </c>
      <c r="B3" s="40">
        <v>757547</v>
      </c>
      <c r="G3" t="s">
        <v>356</v>
      </c>
      <c r="H3" s="234">
        <f>_xlfn.FORECAST.ETS.STAT($B$2:$B$10,$A$2:$A$10,2,1,1)</f>
        <v>1E-3</v>
      </c>
    </row>
    <row r="4" spans="1:8">
      <c r="A4" s="233">
        <v>2014</v>
      </c>
      <c r="B4" s="40">
        <v>800977</v>
      </c>
      <c r="G4" t="s">
        <v>357</v>
      </c>
      <c r="H4" s="234">
        <f>_xlfn.FORECAST.ETS.STAT($B$2:$B$10,$A$2:$A$10,3,1,1)</f>
        <v>2.2204460492503131E-16</v>
      </c>
    </row>
    <row r="5" spans="1:8">
      <c r="A5" s="233">
        <v>2015</v>
      </c>
      <c r="B5" s="40">
        <v>785316</v>
      </c>
      <c r="G5" t="s">
        <v>358</v>
      </c>
      <c r="H5" s="234">
        <f>_xlfn.FORECAST.ETS.STAT($B$2:$B$10,$A$2:$A$10,4,1,1)</f>
        <v>0.59017247928364558</v>
      </c>
    </row>
    <row r="6" spans="1:8">
      <c r="A6" s="233">
        <v>2016</v>
      </c>
      <c r="B6" s="40">
        <v>833653</v>
      </c>
      <c r="G6" t="s">
        <v>359</v>
      </c>
      <c r="H6" s="234">
        <f>_xlfn.FORECAST.ETS.STAT($B$2:$B$10,$A$2:$A$10,5,1,1)</f>
        <v>4.2493187410884009E-2</v>
      </c>
    </row>
    <row r="7" spans="1:8">
      <c r="A7" s="233">
        <v>2017</v>
      </c>
      <c r="B7" s="40">
        <v>863699</v>
      </c>
      <c r="G7" t="s">
        <v>360</v>
      </c>
      <c r="H7" s="234">
        <f>_xlfn.FORECAST.ETS.STAT($B$2:$B$10,$A$2:$A$10,6,1,1)</f>
        <v>36435.737291709716</v>
      </c>
    </row>
    <row r="8" spans="1:8">
      <c r="A8" s="233">
        <v>2018</v>
      </c>
      <c r="B8" s="40">
        <v>931150</v>
      </c>
      <c r="G8" t="s">
        <v>361</v>
      </c>
      <c r="H8" s="234">
        <f>_xlfn.FORECAST.ETS.STAT($B$2:$B$10,$A$2:$A$10,7,1,1)</f>
        <v>43626.701244465643</v>
      </c>
    </row>
    <row r="9" spans="1:8">
      <c r="A9" s="233">
        <v>2019</v>
      </c>
      <c r="B9" s="40">
        <v>1070194</v>
      </c>
    </row>
    <row r="10" spans="1:8">
      <c r="A10" s="233">
        <v>2020</v>
      </c>
      <c r="B10" s="40">
        <v>1094733.51</v>
      </c>
      <c r="C10" s="40">
        <v>1090263.5099999998</v>
      </c>
      <c r="D10" s="40">
        <v>1090263.5099999998</v>
      </c>
      <c r="E10" s="40">
        <v>1090263.5099999998</v>
      </c>
    </row>
    <row r="11" spans="1:8">
      <c r="A11" s="233">
        <v>2021</v>
      </c>
      <c r="C11" s="40">
        <f>_xlfn.FORECAST.ETS(A11,$B$2:$B$10,$A$2:$A$10,1,1)</f>
        <v>1115962.6293620144</v>
      </c>
      <c r="D11" s="40">
        <f>C11-_xlfn.FORECAST.ETS.CONFINT(A11,$B$2:$B$10,$A$2:$A$10,0.95,1,1)</f>
        <v>1030455.866158573</v>
      </c>
      <c r="E11" s="40">
        <f>C11+_xlfn.FORECAST.ETS.CONFINT(A11,$B$2:$B$10,$A$2:$A$10,0.95,1,1)</f>
        <v>1201469.3925654558</v>
      </c>
    </row>
    <row r="12" spans="1:8">
      <c r="A12" s="233">
        <v>2022</v>
      </c>
      <c r="C12" s="40">
        <f>_xlfn.FORECAST.ETS(A12,$B$2:$B$10,$A$2:$A$10,1,1)</f>
        <v>1168219.042893701</v>
      </c>
      <c r="D12" s="40">
        <f>C12-_xlfn.FORECAST.ETS.CONFINT(A12,$B$2:$B$10,$A$2:$A$10,0.95,1,1)</f>
        <v>1082277.2590410141</v>
      </c>
      <c r="E12" s="40">
        <f>C12+_xlfn.FORECAST.ETS.CONFINT(A12,$B$2:$B$10,$A$2:$A$10,0.95,1,1)</f>
        <v>1254160.8267463879</v>
      </c>
    </row>
    <row r="13" spans="1:8">
      <c r="A13" s="233">
        <v>2023</v>
      </c>
      <c r="C13" s="40">
        <f>_xlfn.FORECAST.ETS(A13,$B$2:$B$10,$A$2:$A$10,1,1)</f>
        <v>1220475.4564253874</v>
      </c>
      <c r="D13" s="40">
        <f>C13-_xlfn.FORECAST.ETS.CONFINT(A13,$B$2:$B$10,$A$2:$A$10,0.95,1,1)</f>
        <v>1134092.2515440863</v>
      </c>
      <c r="E13" s="40">
        <f>C13+_xlfn.FORECAST.ETS.CONFINT(A13,$B$2:$B$10,$A$2:$A$10,0.95,1,1)</f>
        <v>1306858.6613066886</v>
      </c>
    </row>
    <row r="14" spans="1:8">
      <c r="A14" s="233">
        <v>2024</v>
      </c>
      <c r="C14" s="40">
        <f>_xlfn.FORECAST.ETS(A14,$B$2:$B$10,$A$2:$A$10,1,1)</f>
        <v>1272731.8699570741</v>
      </c>
      <c r="D14" s="40">
        <f>C14-_xlfn.FORECAST.ETS.CONFINT(A14,$B$2:$B$10,$A$2:$A$10,0.95,1,1)</f>
        <v>1185900.8570775085</v>
      </c>
      <c r="E14" s="40">
        <f>C14+_xlfn.FORECAST.ETS.CONFINT(A14,$B$2:$B$10,$A$2:$A$10,0.95,1,1)</f>
        <v>1359562.8828366396</v>
      </c>
    </row>
  </sheetData>
  <pageMargins left="0.7" right="0.7" top="0.75" bottom="0.75" header="0.3" footer="0.3"/>
  <drawing r:id="rId1"/>
  <tableParts count="2">
    <tablePart r:id="rId2"/>
    <tablePart r:id="rId3"/>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2F2BCF-482A-41A0-922E-CCF244259B1E}">
  <sheetPr>
    <tabColor rgb="FF92D050"/>
  </sheetPr>
  <dimension ref="A1:H14"/>
  <sheetViews>
    <sheetView zoomScale="80" zoomScaleNormal="80" workbookViewId="0">
      <selection activeCell="H16" sqref="H16"/>
    </sheetView>
  </sheetViews>
  <sheetFormatPr defaultRowHeight="12.75"/>
  <cols>
    <col min="1" max="1" width="12.1328125" customWidth="1"/>
    <col min="2" max="2" width="17.59765625" customWidth="1"/>
    <col min="3" max="3" width="25.86328125" customWidth="1"/>
    <col min="4" max="4" width="40.1328125" customWidth="1"/>
    <col min="5" max="5" width="39.86328125" customWidth="1"/>
    <col min="7" max="7" width="9.46484375" customWidth="1"/>
    <col min="8" max="8" width="7.73046875" customWidth="1"/>
  </cols>
  <sheetData>
    <row r="1" spans="1:8">
      <c r="A1" t="s">
        <v>351</v>
      </c>
      <c r="B1" t="s">
        <v>364</v>
      </c>
      <c r="C1" t="s">
        <v>429</v>
      </c>
      <c r="D1" t="s">
        <v>430</v>
      </c>
      <c r="E1" t="s">
        <v>431</v>
      </c>
      <c r="G1" t="s">
        <v>353</v>
      </c>
      <c r="H1" t="s">
        <v>354</v>
      </c>
    </row>
    <row r="2" spans="1:8">
      <c r="A2" s="233">
        <v>2012</v>
      </c>
      <c r="B2" s="40">
        <v>631409</v>
      </c>
      <c r="G2" t="s">
        <v>355</v>
      </c>
      <c r="H2" s="234">
        <f>_xlfn.FORECAST.ETS.STAT($B$2:$B$10,$A$2:$A$10,1,1,1)</f>
        <v>0.1</v>
      </c>
    </row>
    <row r="3" spans="1:8">
      <c r="A3" s="233">
        <v>2013</v>
      </c>
      <c r="B3" s="40">
        <v>714791</v>
      </c>
      <c r="G3" t="s">
        <v>356</v>
      </c>
      <c r="H3" s="234">
        <f>_xlfn.FORECAST.ETS.STAT($B$2:$B$10,$A$2:$A$10,2,1,1)</f>
        <v>1E-3</v>
      </c>
    </row>
    <row r="4" spans="1:8">
      <c r="A4" s="233">
        <v>2014</v>
      </c>
      <c r="B4" s="40">
        <v>643731</v>
      </c>
      <c r="G4" t="s">
        <v>357</v>
      </c>
      <c r="H4" s="234">
        <f>_xlfn.FORECAST.ETS.STAT($B$2:$B$10,$A$2:$A$10,3,1,1)</f>
        <v>0.89900000000000002</v>
      </c>
    </row>
    <row r="5" spans="1:8">
      <c r="A5" s="233">
        <v>2015</v>
      </c>
      <c r="B5" s="40">
        <v>799206</v>
      </c>
      <c r="G5" t="s">
        <v>358</v>
      </c>
      <c r="H5" s="234">
        <f>_xlfn.FORECAST.ETS.STAT($B$2:$B$10,$A$2:$A$10,4,1,1)</f>
        <v>0.51947049276847046</v>
      </c>
    </row>
    <row r="6" spans="1:8">
      <c r="A6" s="233">
        <v>2016</v>
      </c>
      <c r="B6" s="40">
        <v>802456</v>
      </c>
      <c r="G6" t="s">
        <v>359</v>
      </c>
      <c r="H6" s="234">
        <f>_xlfn.FORECAST.ETS.STAT($B$2:$B$10,$A$2:$A$10,5,1,1)</f>
        <v>4.7992548656483017E-2</v>
      </c>
    </row>
    <row r="7" spans="1:8">
      <c r="A7" s="233">
        <v>2017</v>
      </c>
      <c r="B7" s="40">
        <v>834823</v>
      </c>
      <c r="G7" t="s">
        <v>360</v>
      </c>
      <c r="H7" s="234">
        <f>_xlfn.FORECAST.ETS.STAT($B$2:$B$10,$A$2:$A$10,6,1,1)</f>
        <v>39214.652827138649</v>
      </c>
    </row>
    <row r="8" spans="1:8">
      <c r="A8" s="233">
        <v>2018</v>
      </c>
      <c r="B8" s="40">
        <v>933065</v>
      </c>
      <c r="G8" t="s">
        <v>361</v>
      </c>
      <c r="H8" s="234">
        <f>_xlfn.FORECAST.ETS.STAT($B$2:$B$10,$A$2:$A$10,7,1,1)</f>
        <v>49127.614437720476</v>
      </c>
    </row>
    <row r="9" spans="1:8">
      <c r="A9" s="233">
        <v>2019</v>
      </c>
      <c r="B9" s="40">
        <v>933065</v>
      </c>
    </row>
    <row r="10" spans="1:8">
      <c r="A10" s="233">
        <v>2020</v>
      </c>
      <c r="B10" s="40">
        <v>1093206.31</v>
      </c>
      <c r="C10" s="40">
        <v>1084797.0900000001</v>
      </c>
      <c r="D10" s="40">
        <v>1096751.0900000001</v>
      </c>
      <c r="E10" s="40">
        <v>1096751.0900000001</v>
      </c>
    </row>
    <row r="11" spans="1:8">
      <c r="A11" s="233">
        <v>2021</v>
      </c>
      <c r="C11" s="40">
        <f>_xlfn.FORECAST.ETS(A11,$B$2:$B$10,$A$2:$A$10,1,1)</f>
        <v>1042519.35841484</v>
      </c>
      <c r="D11" s="40">
        <f>C11-_xlfn.FORECAST.ETS.CONFINT(A11,$B$2:$B$10,$A$2:$A$10,0.95,1,1)</f>
        <v>946231.00347053783</v>
      </c>
      <c r="E11" s="40">
        <f>C11+_xlfn.FORECAST.ETS.CONFINT(A11,$B$2:$B$10,$A$2:$A$10,0.95,1,1)</f>
        <v>1138807.713359142</v>
      </c>
    </row>
    <row r="12" spans="1:8">
      <c r="A12" s="233">
        <v>2022</v>
      </c>
      <c r="C12" s="40">
        <f>_xlfn.FORECAST.ETS(A12,$B$2:$B$10,$A$2:$A$10,1,1)</f>
        <v>1196910.8162081006</v>
      </c>
      <c r="D12" s="40">
        <f>C12-_xlfn.FORECAST.ETS.CONFINT(A12,$B$2:$B$10,$A$2:$A$10,0.95,1,1)</f>
        <v>1100132.5886371972</v>
      </c>
      <c r="E12" s="40">
        <f>C12+_xlfn.FORECAST.ETS.CONFINT(A12,$B$2:$B$10,$A$2:$A$10,0.95,1,1)</f>
        <v>1293689.0437790041</v>
      </c>
    </row>
    <row r="13" spans="1:8">
      <c r="A13" s="233">
        <v>2023</v>
      </c>
      <c r="C13" s="40">
        <f>_xlfn.FORECAST.ETS(A13,$B$2:$B$10,$A$2:$A$10,1,1)</f>
        <v>1146281.2741592193</v>
      </c>
      <c r="D13" s="40">
        <f>C13-_xlfn.FORECAST.ETS.CONFINT(A13,$B$2:$B$10,$A$2:$A$10,0.95,1,1)</f>
        <v>1009694.2147586724</v>
      </c>
      <c r="E13" s="40">
        <f>C13+_xlfn.FORECAST.ETS.CONFINT(A13,$B$2:$B$10,$A$2:$A$10,0.95,1,1)</f>
        <v>1282868.3335597664</v>
      </c>
    </row>
    <row r="14" spans="1:8">
      <c r="A14" s="233">
        <v>2024</v>
      </c>
      <c r="C14" s="40">
        <f>_xlfn.FORECAST.ETS(A14,$B$2:$B$10,$A$2:$A$10,1,1)</f>
        <v>1300672.7319524798</v>
      </c>
      <c r="D14" s="40">
        <f>C14-_xlfn.FORECAST.ETS.CONFINT(A14,$B$2:$B$10,$A$2:$A$10,0.95,1,1)</f>
        <v>1163726.0796382602</v>
      </c>
      <c r="E14" s="40">
        <f>C14+_xlfn.FORECAST.ETS.CONFINT(A14,$B$2:$B$10,$A$2:$A$10,0.95,1,1)</f>
        <v>1437619.3842666994</v>
      </c>
    </row>
  </sheetData>
  <pageMargins left="0.7" right="0.7" top="0.75" bottom="0.75" header="0.3" footer="0.3"/>
  <drawing r:id="rId1"/>
  <tableParts count="2">
    <tablePart r:id="rId2"/>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448153-8B3A-4E17-AA41-B8DAB784B239}">
  <sheetPr>
    <tabColor rgb="FF92D050"/>
  </sheetPr>
  <dimension ref="A1:E11"/>
  <sheetViews>
    <sheetView workbookViewId="0">
      <selection activeCell="C19" sqref="C19"/>
    </sheetView>
  </sheetViews>
  <sheetFormatPr defaultRowHeight="12.75"/>
  <cols>
    <col min="1" max="1" width="12.1328125" customWidth="1"/>
    <col min="2" max="2" width="17.86328125" customWidth="1"/>
    <col min="3" max="3" width="26.1328125" customWidth="1"/>
    <col min="4" max="4" width="40.3984375" customWidth="1"/>
    <col min="5" max="5" width="40.1328125" customWidth="1"/>
  </cols>
  <sheetData>
    <row r="1" spans="1:5">
      <c r="A1" t="s">
        <v>351</v>
      </c>
      <c r="B1" t="s">
        <v>363</v>
      </c>
      <c r="C1" t="s">
        <v>432</v>
      </c>
      <c r="D1" t="s">
        <v>433</v>
      </c>
      <c r="E1" t="s">
        <v>434</v>
      </c>
    </row>
    <row r="2" spans="1:5">
      <c r="A2" s="233">
        <v>2012</v>
      </c>
      <c r="B2" s="40">
        <v>632156</v>
      </c>
    </row>
    <row r="3" spans="1:5">
      <c r="A3" s="233">
        <v>2013</v>
      </c>
      <c r="B3" s="40">
        <v>757547</v>
      </c>
    </row>
    <row r="4" spans="1:5">
      <c r="A4" s="233">
        <v>2014</v>
      </c>
      <c r="B4" s="40">
        <v>800977</v>
      </c>
    </row>
    <row r="5" spans="1:5">
      <c r="A5" s="233">
        <v>2015</v>
      </c>
      <c r="B5" s="40">
        <v>785316</v>
      </c>
    </row>
    <row r="6" spans="1:5">
      <c r="A6" s="233">
        <v>2016</v>
      </c>
      <c r="B6" s="40">
        <v>833653</v>
      </c>
    </row>
    <row r="7" spans="1:5">
      <c r="A7" s="233">
        <v>2017</v>
      </c>
      <c r="B7" s="40">
        <v>863699</v>
      </c>
    </row>
    <row r="8" spans="1:5">
      <c r="A8" s="233">
        <v>2018</v>
      </c>
      <c r="B8" s="40">
        <v>931150</v>
      </c>
    </row>
    <row r="9" spans="1:5">
      <c r="A9" s="233">
        <v>2019</v>
      </c>
      <c r="B9" s="40">
        <v>1070194</v>
      </c>
      <c r="C9" s="40">
        <v>1070194</v>
      </c>
      <c r="D9" s="40">
        <v>1070194</v>
      </c>
      <c r="E9" s="40">
        <v>1070194</v>
      </c>
    </row>
    <row r="10" spans="1:5">
      <c r="A10" s="282">
        <v>2020</v>
      </c>
      <c r="B10" s="236"/>
      <c r="C10" s="283">
        <f>_xlfn.FORECAST.ETS(A10,$B$2:$B$9,$A$2:$A$9,1,1)</f>
        <v>1049074.4437815272</v>
      </c>
      <c r="D10" s="283">
        <f>C10-_xlfn.FORECAST.ETS.CONFINT(A10,$B$2:$B$9,$A$2:$A$9,0.95,1,1)</f>
        <v>957947.64038729831</v>
      </c>
      <c r="E10" s="283">
        <f>C10+_xlfn.FORECAST.ETS.CONFINT(A10,$B$2:$B$9,$A$2:$A$9,0.95,1,1)</f>
        <v>1140201.2471757561</v>
      </c>
    </row>
    <row r="11" spans="1:5">
      <c r="A11" s="233">
        <v>2021</v>
      </c>
      <c r="C11" s="40">
        <f>_xlfn.FORECAST.ETS(A11,$B$2:$B$9,$A$2:$A$9,1,1)</f>
        <v>1098877.1016386766</v>
      </c>
      <c r="D11" s="40">
        <f>C11-_xlfn.FORECAST.ETS.CONFINT(A11,$B$2:$B$9,$A$2:$A$9,0.95,1,1)</f>
        <v>1007018.3457481011</v>
      </c>
      <c r="E11" s="40">
        <f>C11+_xlfn.FORECAST.ETS.CONFINT(A11,$B$2:$B$9,$A$2:$A$9,0.95,1,1)</f>
        <v>1190735.8575292521</v>
      </c>
    </row>
  </sheetData>
  <pageMargins left="0.7" right="0.7" top="0.75" bottom="0.75" header="0.3" footer="0.3"/>
  <drawing r:id="rId1"/>
  <tableParts count="1">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343396-8324-4802-8412-1872EF0BB456}">
  <sheetPr>
    <tabColor rgb="FF92D050"/>
  </sheetPr>
  <dimension ref="A1:E11"/>
  <sheetViews>
    <sheetView workbookViewId="0">
      <selection activeCell="B9" sqref="B9"/>
    </sheetView>
  </sheetViews>
  <sheetFormatPr defaultRowHeight="12.75"/>
  <cols>
    <col min="1" max="1" width="12.1328125" customWidth="1"/>
    <col min="2" max="2" width="17.59765625" customWidth="1"/>
    <col min="3" max="3" width="25.86328125" customWidth="1"/>
    <col min="4" max="4" width="40.1328125" customWidth="1"/>
    <col min="5" max="5" width="39.86328125" customWidth="1"/>
  </cols>
  <sheetData>
    <row r="1" spans="1:5">
      <c r="A1" t="s">
        <v>351</v>
      </c>
      <c r="B1" t="s">
        <v>364</v>
      </c>
      <c r="C1" t="s">
        <v>429</v>
      </c>
      <c r="D1" t="s">
        <v>430</v>
      </c>
      <c r="E1" t="s">
        <v>431</v>
      </c>
    </row>
    <row r="2" spans="1:5">
      <c r="A2" s="233">
        <v>2012</v>
      </c>
      <c r="B2" s="40">
        <v>631409</v>
      </c>
    </row>
    <row r="3" spans="1:5">
      <c r="A3" s="233">
        <v>2013</v>
      </c>
      <c r="B3" s="40">
        <v>714791</v>
      </c>
    </row>
    <row r="4" spans="1:5">
      <c r="A4" s="233">
        <v>2014</v>
      </c>
      <c r="B4" s="40">
        <v>643731</v>
      </c>
    </row>
    <row r="5" spans="1:5">
      <c r="A5" s="233">
        <v>2015</v>
      </c>
      <c r="B5" s="40">
        <v>799206</v>
      </c>
    </row>
    <row r="6" spans="1:5">
      <c r="A6" s="233">
        <v>2016</v>
      </c>
      <c r="B6" s="40">
        <v>802456</v>
      </c>
    </row>
    <row r="7" spans="1:5">
      <c r="A7" s="233">
        <v>2017</v>
      </c>
      <c r="B7" s="40">
        <v>834823</v>
      </c>
    </row>
    <row r="8" spans="1:5">
      <c r="A8" s="233">
        <v>2018</v>
      </c>
      <c r="B8" s="40">
        <v>933065</v>
      </c>
    </row>
    <row r="9" spans="1:5">
      <c r="A9" s="233">
        <v>2019</v>
      </c>
      <c r="B9" s="40">
        <v>933065</v>
      </c>
      <c r="C9" s="40">
        <v>933065</v>
      </c>
      <c r="D9" s="40">
        <v>933065</v>
      </c>
      <c r="E9" s="40">
        <v>933065</v>
      </c>
    </row>
    <row r="10" spans="1:5">
      <c r="A10" s="282">
        <v>2020</v>
      </c>
      <c r="B10" s="236"/>
      <c r="C10" s="283">
        <f>_xlfn.FORECAST.ETS(A10,$B$2:$B$9,$A$2:$A$9,1,1)</f>
        <v>940202.99735968502</v>
      </c>
      <c r="D10" s="283">
        <f>C10-_xlfn.FORECAST.ETS.CONFINT(A10,$B$2:$B$9,$A$2:$A$9,0.95,1,1)</f>
        <v>883615.27311977348</v>
      </c>
      <c r="E10" s="283">
        <f>C10+_xlfn.FORECAST.ETS.CONFINT(A10,$B$2:$B$9,$A$2:$A$9,0.95,1,1)</f>
        <v>996790.72159959655</v>
      </c>
    </row>
    <row r="11" spans="1:5">
      <c r="A11" s="233">
        <v>2021</v>
      </c>
      <c r="C11" s="40">
        <f>_xlfn.FORECAST.ETS(A11,$B$2:$B$9,$A$2:$A$9,1,1)</f>
        <v>1079614.499969414</v>
      </c>
      <c r="D11" s="40">
        <f>C11-_xlfn.FORECAST.ETS.CONFINT(A11,$B$2:$B$9,$A$2:$A$9,0.95,1,1)</f>
        <v>1022572.2494597639</v>
      </c>
      <c r="E11" s="40">
        <f>C11+_xlfn.FORECAST.ETS.CONFINT(A11,$B$2:$B$9,$A$2:$A$9,0.95,1,1)</f>
        <v>1136656.750479064</v>
      </c>
    </row>
  </sheetData>
  <pageMargins left="0.7" right="0.7" top="0.75" bottom="0.75" header="0.3" footer="0.3"/>
  <drawing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outlinePr summaryBelow="0" summaryRight="0"/>
  </sheetPr>
  <dimension ref="A1:L272"/>
  <sheetViews>
    <sheetView zoomScale="70" zoomScaleNormal="70" workbookViewId="0">
      <selection activeCell="E233" sqref="E233"/>
    </sheetView>
  </sheetViews>
  <sheetFormatPr defaultColWidth="14.46484375" defaultRowHeight="15.75" customHeight="1"/>
  <cols>
    <col min="1" max="1" width="29.796875" bestFit="1" customWidth="1"/>
    <col min="2" max="2" width="29.86328125" bestFit="1" customWidth="1"/>
    <col min="3" max="3" width="17.265625" style="120" bestFit="1" customWidth="1"/>
    <col min="5" max="5" width="31.19921875" bestFit="1" customWidth="1"/>
    <col min="6" max="6" width="16.06640625" bestFit="1" customWidth="1"/>
    <col min="9" max="9" width="113.33203125" bestFit="1" customWidth="1"/>
  </cols>
  <sheetData>
    <row r="1" spans="1:9" ht="22.5">
      <c r="A1" s="193" t="s">
        <v>332</v>
      </c>
      <c r="B1" s="186"/>
      <c r="C1" s="189"/>
      <c r="D1" s="186"/>
      <c r="E1" s="186"/>
      <c r="F1" s="186"/>
      <c r="G1" s="186"/>
      <c r="H1" s="186"/>
      <c r="I1" s="186"/>
    </row>
    <row r="3" spans="1:9" ht="15.75" customHeight="1">
      <c r="A3" s="1" t="s">
        <v>0</v>
      </c>
      <c r="B3" s="2"/>
    </row>
    <row r="4" spans="1:9" ht="14.25">
      <c r="A4" s="3" t="s">
        <v>1</v>
      </c>
      <c r="B4" s="4" t="s">
        <v>12</v>
      </c>
    </row>
    <row r="5" spans="1:9" ht="14.25">
      <c r="A5" s="5" t="s">
        <v>304</v>
      </c>
      <c r="B5" s="9"/>
    </row>
    <row r="6" spans="1:9" ht="14.25">
      <c r="A6" s="173" t="s">
        <v>5</v>
      </c>
      <c r="B6" s="9">
        <f>'3) President'!B8</f>
        <v>0</v>
      </c>
    </row>
    <row r="7" spans="1:9" ht="14.25">
      <c r="A7" s="173" t="s">
        <v>6</v>
      </c>
      <c r="B7" s="240">
        <f>'8) VP External'!C11</f>
        <v>26500</v>
      </c>
    </row>
    <row r="8" spans="1:9" ht="14.25">
      <c r="A8" s="173" t="s">
        <v>8</v>
      </c>
      <c r="B8" s="9">
        <f>'5) VP Finance'!C14</f>
        <v>555778.86</v>
      </c>
    </row>
    <row r="9" spans="1:9" ht="14.25">
      <c r="A9" s="173" t="s">
        <v>9</v>
      </c>
      <c r="B9" s="9">
        <f>'4) VP Internal'!C9</f>
        <v>1500</v>
      </c>
    </row>
    <row r="10" spans="1:9" ht="14.25">
      <c r="A10" s="173" t="s">
        <v>10</v>
      </c>
      <c r="B10" s="9">
        <f>'6) VP Academic'!C9</f>
        <v>0</v>
      </c>
    </row>
    <row r="11" spans="1:9" ht="14.25">
      <c r="A11" s="173" t="s">
        <v>11</v>
      </c>
      <c r="B11" s="9">
        <f>'7) VP Communications'!C10</f>
        <v>30000</v>
      </c>
    </row>
    <row r="12" spans="1:9" ht="14.25">
      <c r="A12" s="174" t="s">
        <v>13</v>
      </c>
      <c r="B12" s="9">
        <f>'10) VP Social'!C11</f>
        <v>153500</v>
      </c>
    </row>
    <row r="13" spans="1:9" ht="14.25">
      <c r="A13" s="173" t="s">
        <v>263</v>
      </c>
      <c r="B13" s="9">
        <f>'9) VP Services'!C11</f>
        <v>10000</v>
      </c>
    </row>
    <row r="14" spans="1:9" ht="14.25">
      <c r="A14" s="173" t="s">
        <v>14</v>
      </c>
      <c r="B14" s="6">
        <v>275165.88</v>
      </c>
    </row>
    <row r="15" spans="1:9" ht="14.25">
      <c r="A15" s="173" t="s">
        <v>348</v>
      </c>
      <c r="B15" s="8">
        <f>'12) Departments'!C99</f>
        <v>55430.65</v>
      </c>
    </row>
    <row r="16" spans="1:9" ht="14.25">
      <c r="A16" s="7" t="s">
        <v>4</v>
      </c>
      <c r="B16" s="14">
        <f>SUM(B6:B15)</f>
        <v>1107875.3899999999</v>
      </c>
    </row>
    <row r="17" spans="1:9" ht="12.75"/>
    <row r="18" spans="1:9" ht="21">
      <c r="A18" s="10" t="s">
        <v>7</v>
      </c>
      <c r="B18" s="11"/>
      <c r="I18" s="120"/>
    </row>
    <row r="19" spans="1:9" ht="14.25">
      <c r="A19" s="12" t="s">
        <v>1</v>
      </c>
      <c r="B19" s="13" t="s">
        <v>2</v>
      </c>
    </row>
    <row r="20" spans="1:9" ht="14.25">
      <c r="A20" s="297" t="s">
        <v>305</v>
      </c>
      <c r="B20" s="298"/>
    </row>
    <row r="21" spans="1:9" ht="14.25">
      <c r="A21" s="300" t="s">
        <v>348</v>
      </c>
      <c r="B21" s="301">
        <f>'12) Departments'!C243</f>
        <v>88255.07</v>
      </c>
    </row>
    <row r="22" spans="1:9" ht="14.25">
      <c r="A22" s="302" t="s">
        <v>18</v>
      </c>
      <c r="B22" s="303">
        <f>'3) President'!C26</f>
        <v>21240</v>
      </c>
    </row>
    <row r="23" spans="1:9" ht="14.25">
      <c r="A23" s="302" t="s">
        <v>6</v>
      </c>
      <c r="B23" s="264">
        <f>'8) VP External'!C22</f>
        <v>12900</v>
      </c>
    </row>
    <row r="24" spans="1:9" ht="15.75" customHeight="1">
      <c r="A24" s="302" t="s">
        <v>8</v>
      </c>
      <c r="B24" s="301">
        <f>'5) VP Finance'!C43</f>
        <v>321982.68000000005</v>
      </c>
    </row>
    <row r="25" spans="1:9" ht="15.75" customHeight="1">
      <c r="A25" s="302" t="s">
        <v>9</v>
      </c>
      <c r="B25" s="303">
        <f>'4) VP Internal'!C31</f>
        <v>22860</v>
      </c>
    </row>
    <row r="26" spans="1:9" ht="14.25">
      <c r="A26" s="302" t="s">
        <v>10</v>
      </c>
      <c r="B26" s="303">
        <f>'6) VP Academic'!C18</f>
        <v>7400</v>
      </c>
    </row>
    <row r="27" spans="1:9" ht="14.25">
      <c r="A27" s="302" t="s">
        <v>263</v>
      </c>
      <c r="B27" s="303">
        <f>'9) VP Services'!C19</f>
        <v>2150</v>
      </c>
    </row>
    <row r="28" spans="1:9" ht="14.25">
      <c r="A28" s="302" t="s">
        <v>11</v>
      </c>
      <c r="B28" s="303">
        <f>'7) VP Communications'!C18</f>
        <v>44426.74</v>
      </c>
    </row>
    <row r="29" spans="1:9" ht="14.25">
      <c r="A29" s="302" t="s">
        <v>13</v>
      </c>
      <c r="B29" s="303">
        <f>'10) VP Social'!C22</f>
        <v>139000</v>
      </c>
    </row>
    <row r="30" spans="1:9" ht="14.25">
      <c r="A30" s="300" t="s">
        <v>19</v>
      </c>
      <c r="B30" s="304">
        <v>270282</v>
      </c>
    </row>
    <row r="31" spans="1:9" ht="14.25">
      <c r="A31" s="299" t="s">
        <v>344</v>
      </c>
      <c r="B31" s="175">
        <f>'11) Stipends and Wages FY2020'!G10 + '11) Stipends and Wages FY2020'!G11 + '11) Stipends and Wages FY2020'!G13 + '11) Stipends and Wages FY2020'!G12</f>
        <v>187648</v>
      </c>
    </row>
    <row r="32" spans="1:9" ht="14.25">
      <c r="A32" s="16" t="s">
        <v>15</v>
      </c>
      <c r="B32" s="19">
        <f>SUM(B20:B31)</f>
        <v>1118144.49</v>
      </c>
    </row>
    <row r="33" spans="1:12" ht="12.75">
      <c r="B33" s="20"/>
    </row>
    <row r="34" spans="1:12" ht="13.15" thickBot="1">
      <c r="A34" s="225" t="s">
        <v>20</v>
      </c>
      <c r="B34" s="224">
        <f>B16-B32</f>
        <v>-10269.100000000093</v>
      </c>
    </row>
    <row r="35" spans="1:12" ht="13.15" thickTop="1"/>
    <row r="36" spans="1:12" ht="13.9">
      <c r="A36" s="181" t="s">
        <v>338</v>
      </c>
      <c r="B36" s="176" t="s">
        <v>491</v>
      </c>
    </row>
    <row r="37" spans="1:12" ht="12.75">
      <c r="B37" s="176"/>
    </row>
    <row r="38" spans="1:12" ht="12.75"/>
    <row r="39" spans="1:12" ht="12.75">
      <c r="A39" s="186"/>
      <c r="B39" s="186"/>
      <c r="C39" s="189"/>
      <c r="D39" s="186"/>
      <c r="E39" s="186"/>
      <c r="F39" s="186"/>
      <c r="G39" s="186"/>
      <c r="H39" s="186"/>
      <c r="I39" s="186"/>
      <c r="J39" s="186"/>
      <c r="K39" s="186"/>
      <c r="L39" s="186"/>
    </row>
    <row r="40" spans="1:12" ht="25.15">
      <c r="A40" s="211" t="s">
        <v>326</v>
      </c>
    </row>
    <row r="41" spans="1:12" ht="12.75">
      <c r="A41" s="176"/>
    </row>
    <row r="42" spans="1:12" ht="15">
      <c r="A42" s="188" t="s">
        <v>311</v>
      </c>
      <c r="B42" s="186"/>
      <c r="C42" s="208"/>
      <c r="D42" s="198"/>
      <c r="E42" s="199"/>
      <c r="F42" s="198"/>
      <c r="G42" s="191"/>
      <c r="H42" s="213" t="s">
        <v>338</v>
      </c>
      <c r="I42" s="310" t="s">
        <v>480</v>
      </c>
      <c r="J42" s="191"/>
      <c r="K42" s="191"/>
      <c r="L42" s="191"/>
    </row>
    <row r="43" spans="1:12" ht="12.75"/>
    <row r="44" spans="1:12" ht="12.75">
      <c r="A44" s="207" t="s">
        <v>312</v>
      </c>
      <c r="B44" s="200" t="s">
        <v>313</v>
      </c>
      <c r="E44" s="176" t="s">
        <v>313</v>
      </c>
    </row>
    <row r="45" spans="1:12" ht="12.75">
      <c r="G45" s="191"/>
      <c r="H45" s="191"/>
      <c r="I45" s="191"/>
      <c r="J45" s="191"/>
      <c r="K45" s="191"/>
      <c r="L45" s="191"/>
    </row>
    <row r="46" spans="1:12" ht="12.75">
      <c r="A46" s="207" t="s">
        <v>314</v>
      </c>
    </row>
    <row r="47" spans="1:12" ht="12.75">
      <c r="B47" s="191" t="s">
        <v>325</v>
      </c>
      <c r="C47" s="120" t="s">
        <v>310</v>
      </c>
      <c r="E47" s="191" t="s">
        <v>320</v>
      </c>
      <c r="F47" t="s">
        <v>310</v>
      </c>
      <c r="G47" s="191"/>
      <c r="H47" s="191"/>
      <c r="I47" s="191"/>
      <c r="J47" s="191"/>
      <c r="K47" s="191"/>
      <c r="L47" s="191"/>
    </row>
    <row r="48" spans="1:12" ht="12.75">
      <c r="B48" s="192" t="s">
        <v>131</v>
      </c>
      <c r="C48" s="120">
        <v>500</v>
      </c>
      <c r="E48" s="192" t="s">
        <v>136</v>
      </c>
      <c r="F48" s="120">
        <v>300</v>
      </c>
    </row>
    <row r="49" spans="1:12" ht="12.75">
      <c r="B49" s="192" t="s">
        <v>118</v>
      </c>
      <c r="C49" s="120">
        <v>2400</v>
      </c>
      <c r="E49" s="192" t="s">
        <v>134</v>
      </c>
      <c r="F49" s="120">
        <v>1040</v>
      </c>
    </row>
    <row r="50" spans="1:12" ht="12.75">
      <c r="B50" s="192" t="s">
        <v>125</v>
      </c>
      <c r="C50" s="120">
        <v>1500</v>
      </c>
      <c r="E50" s="192" t="s">
        <v>140</v>
      </c>
      <c r="F50" s="120">
        <v>4000</v>
      </c>
    </row>
    <row r="51" spans="1:12" ht="12.75">
      <c r="B51" s="192" t="s">
        <v>133</v>
      </c>
      <c r="C51" s="120">
        <v>15840</v>
      </c>
      <c r="E51" s="192" t="s">
        <v>132</v>
      </c>
      <c r="F51" s="120">
        <v>250</v>
      </c>
    </row>
    <row r="52" spans="1:12" ht="12.75">
      <c r="B52" s="192" t="s">
        <v>114</v>
      </c>
      <c r="C52" s="120">
        <v>400</v>
      </c>
      <c r="E52" s="192" t="s">
        <v>126</v>
      </c>
      <c r="F52" s="120">
        <v>100</v>
      </c>
    </row>
    <row r="53" spans="1:12" ht="12.75">
      <c r="B53" s="192" t="s">
        <v>117</v>
      </c>
      <c r="C53" s="120">
        <v>600</v>
      </c>
      <c r="E53" s="192" t="s">
        <v>121</v>
      </c>
      <c r="F53" s="120">
        <v>500</v>
      </c>
    </row>
    <row r="54" spans="1:12" ht="12.75">
      <c r="B54" s="192" t="s">
        <v>308</v>
      </c>
      <c r="C54" s="120">
        <v>21240</v>
      </c>
      <c r="E54" s="192" t="s">
        <v>123</v>
      </c>
      <c r="F54" s="120">
        <v>200</v>
      </c>
    </row>
    <row r="55" spans="1:12" ht="12.75">
      <c r="E55" s="192" t="s">
        <v>138</v>
      </c>
      <c r="F55" s="120">
        <v>10500</v>
      </c>
    </row>
    <row r="56" spans="1:12" ht="12.75">
      <c r="E56" s="192" t="s">
        <v>128</v>
      </c>
      <c r="F56" s="120">
        <v>1000</v>
      </c>
    </row>
    <row r="57" spans="1:12" ht="12.75">
      <c r="E57" s="192" t="s">
        <v>119</v>
      </c>
      <c r="F57" s="120">
        <v>2350</v>
      </c>
    </row>
    <row r="58" spans="1:12" ht="12.75">
      <c r="E58" s="192" t="s">
        <v>115</v>
      </c>
      <c r="F58" s="120">
        <v>1000</v>
      </c>
    </row>
    <row r="59" spans="1:12" ht="12.75">
      <c r="E59" s="192" t="s">
        <v>308</v>
      </c>
      <c r="F59" s="120">
        <v>21240</v>
      </c>
    </row>
    <row r="60" spans="1:12" ht="12.75"/>
    <row r="61" spans="1:12" ht="15">
      <c r="A61" s="188" t="s">
        <v>315</v>
      </c>
      <c r="B61" s="186"/>
      <c r="C61" s="189"/>
      <c r="D61" s="186"/>
      <c r="E61" s="186"/>
      <c r="F61" s="186"/>
    </row>
    <row r="62" spans="1:12" ht="12.75"/>
    <row r="63" spans="1:12" ht="12.75">
      <c r="A63" s="176" t="s">
        <v>312</v>
      </c>
      <c r="B63" s="191" t="s">
        <v>325</v>
      </c>
      <c r="C63" s="120" t="s">
        <v>310</v>
      </c>
      <c r="E63" s="191" t="s">
        <v>320</v>
      </c>
      <c r="F63" t="s">
        <v>310</v>
      </c>
      <c r="G63" s="191"/>
      <c r="H63" s="191"/>
      <c r="I63" s="191"/>
      <c r="J63" s="191"/>
      <c r="K63" s="191"/>
      <c r="L63" s="191"/>
    </row>
    <row r="64" spans="1:12" ht="15.75" customHeight="1">
      <c r="B64" s="192" t="s">
        <v>142</v>
      </c>
      <c r="C64" s="120">
        <v>1500</v>
      </c>
      <c r="E64" s="192" t="s">
        <v>492</v>
      </c>
      <c r="F64" s="120">
        <v>1500</v>
      </c>
    </row>
    <row r="65" spans="1:12" ht="15.75" customHeight="1">
      <c r="B65" s="192" t="s">
        <v>308</v>
      </c>
      <c r="C65" s="120">
        <v>1500</v>
      </c>
      <c r="E65" s="192" t="s">
        <v>308</v>
      </c>
      <c r="F65" s="120">
        <v>1500</v>
      </c>
    </row>
    <row r="67" spans="1:12" ht="15.75" customHeight="1">
      <c r="A67" s="176" t="s">
        <v>314</v>
      </c>
      <c r="B67" s="191" t="s">
        <v>325</v>
      </c>
      <c r="C67" s="120" t="s">
        <v>310</v>
      </c>
      <c r="E67" s="191" t="s">
        <v>320</v>
      </c>
      <c r="F67" t="s">
        <v>310</v>
      </c>
      <c r="G67" s="191"/>
      <c r="H67" s="191"/>
      <c r="I67" s="191"/>
      <c r="J67" s="191"/>
      <c r="K67" s="191"/>
      <c r="L67" s="191"/>
    </row>
    <row r="68" spans="1:12" ht="15.75" customHeight="1">
      <c r="B68" s="192" t="s">
        <v>147</v>
      </c>
      <c r="C68" s="120">
        <v>12000</v>
      </c>
      <c r="E68" s="192" t="s">
        <v>136</v>
      </c>
      <c r="F68" s="120">
        <v>60</v>
      </c>
    </row>
    <row r="69" spans="1:12" ht="15.75" customHeight="1">
      <c r="B69" s="192" t="s">
        <v>150</v>
      </c>
      <c r="C69" s="120">
        <v>1000</v>
      </c>
      <c r="E69" s="192" t="s">
        <v>134</v>
      </c>
      <c r="F69" s="120">
        <v>1700</v>
      </c>
    </row>
    <row r="70" spans="1:12" ht="15.75" customHeight="1">
      <c r="B70" s="192" t="s">
        <v>145</v>
      </c>
      <c r="C70" s="120">
        <v>1000</v>
      </c>
      <c r="E70" s="192" t="s">
        <v>132</v>
      </c>
      <c r="F70" s="120">
        <v>3700</v>
      </c>
    </row>
    <row r="71" spans="1:12" ht="15.75" customHeight="1">
      <c r="B71" s="192" t="s">
        <v>152</v>
      </c>
      <c r="C71" s="120">
        <v>800</v>
      </c>
      <c r="E71" s="192" t="s">
        <v>154</v>
      </c>
      <c r="F71" s="120">
        <v>800</v>
      </c>
    </row>
    <row r="72" spans="1:12" ht="15.75" customHeight="1">
      <c r="B72" s="192" t="s">
        <v>142</v>
      </c>
      <c r="C72" s="120">
        <v>2500</v>
      </c>
      <c r="E72" s="192" t="s">
        <v>148</v>
      </c>
      <c r="F72" s="120">
        <v>5700</v>
      </c>
    </row>
    <row r="73" spans="1:12" ht="15.75" customHeight="1">
      <c r="B73" s="192" t="s">
        <v>158</v>
      </c>
      <c r="C73" s="120">
        <v>2860</v>
      </c>
      <c r="E73" s="192" t="s">
        <v>162</v>
      </c>
      <c r="F73" s="120">
        <v>800</v>
      </c>
    </row>
    <row r="74" spans="1:12" ht="15.75" customHeight="1">
      <c r="B74" s="192" t="s">
        <v>511</v>
      </c>
      <c r="C74" s="120">
        <v>1000</v>
      </c>
      <c r="E74" s="192" t="s">
        <v>159</v>
      </c>
      <c r="F74" s="120">
        <v>1000</v>
      </c>
    </row>
    <row r="75" spans="1:12" ht="15.75" customHeight="1">
      <c r="B75" s="192" t="s">
        <v>514</v>
      </c>
      <c r="C75" s="120">
        <v>1700</v>
      </c>
      <c r="E75" s="192" t="s">
        <v>164</v>
      </c>
      <c r="F75" s="120">
        <v>500</v>
      </c>
    </row>
    <row r="76" spans="1:12" ht="15.75" customHeight="1">
      <c r="B76" s="192" t="s">
        <v>308</v>
      </c>
      <c r="C76" s="120">
        <v>22860</v>
      </c>
      <c r="E76" s="192" t="s">
        <v>156</v>
      </c>
      <c r="F76" s="120">
        <v>800</v>
      </c>
    </row>
    <row r="77" spans="1:12" ht="15.75" customHeight="1">
      <c r="E77" s="192" t="s">
        <v>119</v>
      </c>
      <c r="F77" s="120">
        <v>6800</v>
      </c>
    </row>
    <row r="78" spans="1:12" ht="15.75" customHeight="1">
      <c r="E78" s="192" t="s">
        <v>115</v>
      </c>
      <c r="F78" s="120">
        <v>1000</v>
      </c>
    </row>
    <row r="79" spans="1:12" ht="15.75" customHeight="1">
      <c r="E79" s="192" t="s">
        <v>308</v>
      </c>
      <c r="F79" s="120">
        <v>22860</v>
      </c>
    </row>
    <row r="80" spans="1:12" ht="15.75" customHeight="1">
      <c r="A80" s="188" t="s">
        <v>316</v>
      </c>
      <c r="B80" s="186"/>
      <c r="C80" s="189"/>
      <c r="D80" s="186"/>
      <c r="E80" s="186"/>
      <c r="F80" s="186"/>
    </row>
    <row r="82" spans="1:6" ht="15.75" customHeight="1">
      <c r="A82" s="176" t="s">
        <v>312</v>
      </c>
      <c r="B82" s="191" t="s">
        <v>325</v>
      </c>
      <c r="C82" s="120" t="s">
        <v>310</v>
      </c>
      <c r="E82" s="191" t="s">
        <v>320</v>
      </c>
      <c r="F82" s="120" t="s">
        <v>310</v>
      </c>
    </row>
    <row r="83" spans="1:6" ht="15.75" customHeight="1">
      <c r="B83" s="192" t="s">
        <v>175</v>
      </c>
      <c r="C83" s="120">
        <v>220000</v>
      </c>
      <c r="E83" s="192" t="s">
        <v>178</v>
      </c>
      <c r="F83" s="120">
        <v>16422</v>
      </c>
    </row>
    <row r="84" spans="1:6" ht="15.75" customHeight="1">
      <c r="B84" s="192" t="s">
        <v>177</v>
      </c>
      <c r="C84" s="120">
        <v>16422</v>
      </c>
      <c r="E84" s="192" t="s">
        <v>173</v>
      </c>
      <c r="F84" s="120">
        <v>5150</v>
      </c>
    </row>
    <row r="85" spans="1:6" ht="15.75" customHeight="1">
      <c r="B85" s="192" t="s">
        <v>187</v>
      </c>
      <c r="C85" s="120">
        <v>319356.86</v>
      </c>
      <c r="E85" s="192" t="s">
        <v>176</v>
      </c>
      <c r="F85" s="120">
        <v>220000</v>
      </c>
    </row>
    <row r="86" spans="1:6" ht="15.75" customHeight="1">
      <c r="B86" s="192" t="s">
        <v>308</v>
      </c>
      <c r="C86" s="120">
        <v>555778.86</v>
      </c>
      <c r="E86" s="192" t="s">
        <v>172</v>
      </c>
      <c r="F86" s="120">
        <v>31500</v>
      </c>
    </row>
    <row r="87" spans="1:6" ht="15.75" customHeight="1">
      <c r="E87" s="192" t="s">
        <v>168</v>
      </c>
      <c r="F87" s="120">
        <v>266552.36</v>
      </c>
    </row>
    <row r="88" spans="1:6" ht="15.75" customHeight="1">
      <c r="E88" s="192" t="s">
        <v>170</v>
      </c>
      <c r="F88" s="120">
        <v>16154.5</v>
      </c>
    </row>
    <row r="89" spans="1:6" ht="15.75" customHeight="1">
      <c r="E89" s="192" t="s">
        <v>308</v>
      </c>
      <c r="F89" s="120">
        <v>555778.86</v>
      </c>
    </row>
    <row r="91" spans="1:6" ht="15.75" customHeight="1">
      <c r="A91" s="176" t="s">
        <v>314</v>
      </c>
      <c r="B91" s="191" t="s">
        <v>325</v>
      </c>
      <c r="C91" s="120" t="s">
        <v>310</v>
      </c>
      <c r="E91" s="191" t="s">
        <v>320</v>
      </c>
      <c r="F91" s="120" t="s">
        <v>310</v>
      </c>
    </row>
    <row r="92" spans="1:6" ht="15.75" customHeight="1">
      <c r="B92" s="192" t="s">
        <v>175</v>
      </c>
      <c r="C92" s="120">
        <v>175083.51</v>
      </c>
      <c r="E92" s="192" t="s">
        <v>193</v>
      </c>
      <c r="F92" s="120">
        <v>1500</v>
      </c>
    </row>
    <row r="93" spans="1:6" ht="15.75" customHeight="1">
      <c r="B93" s="192" t="s">
        <v>177</v>
      </c>
      <c r="C93" s="120">
        <v>39390.92</v>
      </c>
      <c r="E93" s="192" t="s">
        <v>209</v>
      </c>
      <c r="F93" s="120">
        <v>250</v>
      </c>
    </row>
    <row r="94" spans="1:6" ht="15.75" customHeight="1">
      <c r="B94" s="192" t="s">
        <v>200</v>
      </c>
      <c r="C94" s="120">
        <v>500</v>
      </c>
      <c r="E94" s="192" t="s">
        <v>213</v>
      </c>
      <c r="F94" s="120">
        <v>169263.51</v>
      </c>
    </row>
    <row r="95" spans="1:6" ht="15.75" customHeight="1">
      <c r="B95" s="192" t="s">
        <v>179</v>
      </c>
      <c r="C95" s="120">
        <v>18648.560000000001</v>
      </c>
      <c r="E95" s="192" t="s">
        <v>205</v>
      </c>
      <c r="F95" s="120">
        <v>1600</v>
      </c>
    </row>
    <row r="96" spans="1:6" ht="15.75" customHeight="1">
      <c r="B96" s="192" t="s">
        <v>182</v>
      </c>
      <c r="C96" s="120">
        <v>11988.36</v>
      </c>
      <c r="E96" s="192" t="s">
        <v>140</v>
      </c>
      <c r="F96" s="120">
        <v>840</v>
      </c>
    </row>
    <row r="97" spans="2:6" ht="15.75" customHeight="1">
      <c r="B97" s="192" t="s">
        <v>183</v>
      </c>
      <c r="C97" s="120">
        <v>22644.68</v>
      </c>
      <c r="E97" s="192" t="s">
        <v>204</v>
      </c>
      <c r="F97" s="120">
        <v>900</v>
      </c>
    </row>
    <row r="98" spans="2:6" ht="15.75" customHeight="1">
      <c r="B98" s="192" t="s">
        <v>187</v>
      </c>
      <c r="C98" s="120">
        <v>43726.649999999994</v>
      </c>
      <c r="E98" s="192" t="s">
        <v>207</v>
      </c>
      <c r="F98" s="120">
        <v>115</v>
      </c>
    </row>
    <row r="99" spans="2:6" ht="15.75" customHeight="1">
      <c r="B99" s="192" t="s">
        <v>184</v>
      </c>
      <c r="C99" s="120">
        <v>10000</v>
      </c>
      <c r="E99" s="192" t="s">
        <v>132</v>
      </c>
      <c r="F99" s="120">
        <v>25299.61</v>
      </c>
    </row>
    <row r="100" spans="2:6" ht="15.75" customHeight="1">
      <c r="B100" s="192" t="s">
        <v>308</v>
      </c>
      <c r="C100" s="120">
        <v>321982.67999999993</v>
      </c>
      <c r="E100" s="192" t="s">
        <v>195</v>
      </c>
      <c r="F100" s="120">
        <v>5153.8100000000004</v>
      </c>
    </row>
    <row r="101" spans="2:6" ht="15.75" customHeight="1">
      <c r="E101" s="192" t="s">
        <v>211</v>
      </c>
      <c r="F101" s="120">
        <v>5726.31</v>
      </c>
    </row>
    <row r="102" spans="2:6" ht="15.75" customHeight="1">
      <c r="E102" s="192" t="s">
        <v>197</v>
      </c>
      <c r="F102" s="120">
        <v>2891.6</v>
      </c>
    </row>
    <row r="103" spans="2:6" ht="15.75" customHeight="1">
      <c r="E103" s="192" t="s">
        <v>208</v>
      </c>
      <c r="F103" s="120">
        <v>5100</v>
      </c>
    </row>
    <row r="104" spans="2:6" ht="15.75" customHeight="1">
      <c r="E104" s="192" t="s">
        <v>190</v>
      </c>
      <c r="F104" s="120">
        <v>7473.38</v>
      </c>
    </row>
    <row r="105" spans="2:6" ht="15.75" customHeight="1">
      <c r="E105" s="192" t="s">
        <v>185</v>
      </c>
      <c r="F105" s="120">
        <v>10000</v>
      </c>
    </row>
    <row r="106" spans="2:6" ht="15.75" customHeight="1">
      <c r="E106" s="192" t="s">
        <v>199</v>
      </c>
      <c r="F106" s="120">
        <v>1431.36</v>
      </c>
    </row>
    <row r="107" spans="2:6" ht="15.75" customHeight="1">
      <c r="E107" s="192" t="s">
        <v>188</v>
      </c>
      <c r="F107" s="120">
        <v>3587.19</v>
      </c>
    </row>
    <row r="108" spans="2:6" ht="15.75" customHeight="1">
      <c r="E108" s="192" t="s">
        <v>198</v>
      </c>
      <c r="F108" s="120">
        <v>2552.7399999999998</v>
      </c>
    </row>
    <row r="109" spans="2:6" ht="15.75" customHeight="1">
      <c r="E109" s="192" t="s">
        <v>180</v>
      </c>
      <c r="F109" s="120">
        <v>54181.600000000006</v>
      </c>
    </row>
    <row r="110" spans="2:6" ht="15.75" customHeight="1">
      <c r="E110" s="192" t="s">
        <v>215</v>
      </c>
      <c r="F110" s="120">
        <v>5820</v>
      </c>
    </row>
    <row r="111" spans="2:6" ht="15.75" customHeight="1">
      <c r="E111" s="192" t="s">
        <v>119</v>
      </c>
      <c r="F111" s="120">
        <v>1000</v>
      </c>
    </row>
    <row r="112" spans="2:6" ht="15.75" customHeight="1">
      <c r="E112" s="192" t="s">
        <v>515</v>
      </c>
      <c r="F112" s="120">
        <v>17296.57</v>
      </c>
    </row>
    <row r="113" spans="1:12" ht="15.75" customHeight="1">
      <c r="E113" s="192" t="s">
        <v>308</v>
      </c>
      <c r="F113" s="120">
        <v>321982.68</v>
      </c>
    </row>
    <row r="116" spans="1:12" ht="15.75" customHeight="1">
      <c r="A116" s="188" t="s">
        <v>216</v>
      </c>
      <c r="B116" s="186"/>
      <c r="C116" s="189"/>
      <c r="D116" s="186"/>
      <c r="E116" s="186"/>
      <c r="F116" s="186"/>
    </row>
    <row r="118" spans="1:12" ht="15.75" customHeight="1">
      <c r="A118" s="176" t="s">
        <v>317</v>
      </c>
      <c r="B118" s="176" t="s">
        <v>313</v>
      </c>
      <c r="E118" s="176" t="s">
        <v>323</v>
      </c>
    </row>
    <row r="120" spans="1:12" ht="15.75" customHeight="1">
      <c r="A120" s="176" t="s">
        <v>314</v>
      </c>
      <c r="B120" s="191" t="s">
        <v>325</v>
      </c>
      <c r="C120" s="120" t="s">
        <v>310</v>
      </c>
      <c r="E120" s="191" t="s">
        <v>320</v>
      </c>
      <c r="F120" s="120" t="s">
        <v>310</v>
      </c>
      <c r="G120" s="191"/>
      <c r="H120" s="191"/>
      <c r="I120" s="191"/>
      <c r="J120" s="191"/>
      <c r="K120" s="191"/>
      <c r="L120" s="191"/>
    </row>
    <row r="121" spans="1:12" ht="15.75" customHeight="1">
      <c r="B121" s="192" t="s">
        <v>218</v>
      </c>
      <c r="C121" s="120">
        <v>400</v>
      </c>
      <c r="E121" s="192" t="s">
        <v>217</v>
      </c>
      <c r="F121" s="120">
        <v>7000</v>
      </c>
    </row>
    <row r="122" spans="1:12" ht="15.75" customHeight="1">
      <c r="B122" s="192" t="s">
        <v>222</v>
      </c>
      <c r="C122" s="120">
        <v>1000</v>
      </c>
      <c r="E122" s="192" t="s">
        <v>119</v>
      </c>
      <c r="F122" s="120">
        <v>400</v>
      </c>
    </row>
    <row r="123" spans="1:12" ht="15.75" customHeight="1">
      <c r="B123" s="192" t="s">
        <v>220</v>
      </c>
      <c r="C123" s="120">
        <v>5000</v>
      </c>
      <c r="E123" s="192" t="s">
        <v>308</v>
      </c>
      <c r="F123" s="120">
        <v>7400</v>
      </c>
    </row>
    <row r="124" spans="1:12" ht="15.75" customHeight="1">
      <c r="B124" s="192" t="s">
        <v>501</v>
      </c>
      <c r="C124" s="120">
        <v>1000</v>
      </c>
    </row>
    <row r="125" spans="1:12" ht="15.75" customHeight="1">
      <c r="B125" s="192" t="s">
        <v>308</v>
      </c>
      <c r="C125" s="120">
        <v>7400</v>
      </c>
    </row>
    <row r="127" spans="1:12" ht="15.75" customHeight="1">
      <c r="A127" s="188" t="s">
        <v>318</v>
      </c>
      <c r="B127" s="186"/>
      <c r="C127" s="189"/>
      <c r="D127" s="186"/>
      <c r="E127" s="186"/>
      <c r="F127" s="186"/>
    </row>
    <row r="128" spans="1:12" ht="15.75" customHeight="1">
      <c r="A128" s="176"/>
    </row>
    <row r="129" spans="1:12" ht="15.75" customHeight="1">
      <c r="A129" s="176" t="s">
        <v>312</v>
      </c>
      <c r="B129" s="191" t="s">
        <v>325</v>
      </c>
      <c r="C129" s="120" t="s">
        <v>310</v>
      </c>
      <c r="E129" s="191" t="s">
        <v>320</v>
      </c>
      <c r="F129" s="120" t="s">
        <v>310</v>
      </c>
      <c r="G129" s="191"/>
      <c r="H129" s="191"/>
      <c r="I129" s="191"/>
      <c r="J129" s="191"/>
      <c r="K129" s="191"/>
      <c r="L129" s="191"/>
    </row>
    <row r="130" spans="1:12" ht="15.75" customHeight="1">
      <c r="B130" s="192" t="s">
        <v>225</v>
      </c>
      <c r="C130" s="120">
        <v>30000</v>
      </c>
      <c r="E130" s="192" t="s">
        <v>226</v>
      </c>
      <c r="F130" s="120">
        <v>30000</v>
      </c>
    </row>
    <row r="131" spans="1:12" ht="15.75" customHeight="1">
      <c r="B131" s="192" t="s">
        <v>308</v>
      </c>
      <c r="C131" s="120">
        <v>30000</v>
      </c>
      <c r="E131" s="192" t="s">
        <v>308</v>
      </c>
      <c r="F131" s="120">
        <v>30000</v>
      </c>
    </row>
    <row r="133" spans="1:12" ht="15.75" customHeight="1">
      <c r="A133" s="176" t="s">
        <v>314</v>
      </c>
      <c r="B133" s="191" t="s">
        <v>325</v>
      </c>
      <c r="C133" s="120" t="s">
        <v>310</v>
      </c>
      <c r="E133" s="191" t="s">
        <v>320</v>
      </c>
      <c r="F133" s="120" t="s">
        <v>310</v>
      </c>
      <c r="G133" s="191"/>
      <c r="H133" s="191"/>
      <c r="I133" s="191"/>
      <c r="J133" s="191"/>
      <c r="K133" s="191"/>
      <c r="L133" s="191"/>
    </row>
    <row r="134" spans="1:12" ht="15.75" customHeight="1">
      <c r="B134" s="192" t="s">
        <v>231</v>
      </c>
      <c r="C134" s="120">
        <v>437.69</v>
      </c>
      <c r="E134" s="192" t="s">
        <v>207</v>
      </c>
      <c r="F134" s="120">
        <v>4448.8600000000006</v>
      </c>
    </row>
    <row r="135" spans="1:12" ht="15.75" customHeight="1">
      <c r="B135" s="192" t="s">
        <v>225</v>
      </c>
      <c r="C135" s="120">
        <v>30000</v>
      </c>
      <c r="E135" s="192" t="s">
        <v>119</v>
      </c>
      <c r="F135" s="120">
        <v>437.69</v>
      </c>
    </row>
    <row r="136" spans="1:12" ht="15.75" customHeight="1">
      <c r="B136" s="192" t="s">
        <v>232</v>
      </c>
      <c r="C136" s="120">
        <v>800</v>
      </c>
      <c r="E136" s="192" t="s">
        <v>229</v>
      </c>
      <c r="F136" s="120">
        <v>30000</v>
      </c>
    </row>
    <row r="137" spans="1:12" ht="15.75" customHeight="1">
      <c r="B137" s="192" t="s">
        <v>234</v>
      </c>
      <c r="C137" s="120">
        <v>13189.050000000001</v>
      </c>
      <c r="E137" s="192" t="s">
        <v>233</v>
      </c>
      <c r="F137" s="120">
        <v>800</v>
      </c>
    </row>
    <row r="138" spans="1:12" ht="15.75" customHeight="1">
      <c r="B138" s="192" t="s">
        <v>308</v>
      </c>
      <c r="C138" s="120">
        <v>44426.74</v>
      </c>
      <c r="E138" s="192" t="s">
        <v>416</v>
      </c>
      <c r="F138" s="120">
        <v>8740.19</v>
      </c>
    </row>
    <row r="139" spans="1:12" ht="15.75" customHeight="1">
      <c r="E139" s="192" t="s">
        <v>308</v>
      </c>
      <c r="F139" s="120">
        <v>44426.740000000005</v>
      </c>
    </row>
    <row r="141" spans="1:12" ht="15.75" customHeight="1">
      <c r="A141" s="188" t="s">
        <v>319</v>
      </c>
      <c r="B141" s="186"/>
      <c r="C141" s="189"/>
      <c r="D141" s="186"/>
      <c r="E141" s="186"/>
      <c r="F141" s="186"/>
    </row>
    <row r="143" spans="1:12" ht="15.75" customHeight="1">
      <c r="A143" s="176" t="s">
        <v>312</v>
      </c>
      <c r="B143" s="191" t="s">
        <v>325</v>
      </c>
      <c r="C143" s="120" t="s">
        <v>310</v>
      </c>
      <c r="E143" s="191" t="s">
        <v>320</v>
      </c>
      <c r="F143" s="120" t="s">
        <v>310</v>
      </c>
      <c r="G143" s="191"/>
      <c r="H143" s="191"/>
      <c r="I143" s="191"/>
      <c r="J143" s="191"/>
      <c r="K143" s="191"/>
      <c r="L143" s="191"/>
    </row>
    <row r="144" spans="1:12" ht="15.75" customHeight="1">
      <c r="B144" s="192" t="s">
        <v>252</v>
      </c>
      <c r="C144" s="120">
        <v>25000</v>
      </c>
      <c r="E144" s="192" t="s">
        <v>242</v>
      </c>
      <c r="F144" s="120">
        <v>1500</v>
      </c>
    </row>
    <row r="145" spans="1:6" ht="15.75" customHeight="1">
      <c r="B145" s="192" t="s">
        <v>254</v>
      </c>
      <c r="C145" s="120">
        <v>1500</v>
      </c>
      <c r="E145" s="192" t="s">
        <v>341</v>
      </c>
      <c r="F145" s="120">
        <v>25000</v>
      </c>
    </row>
    <row r="146" spans="1:6" ht="15.75" customHeight="1">
      <c r="B146" s="192" t="s">
        <v>308</v>
      </c>
      <c r="C146" s="120">
        <v>26500</v>
      </c>
      <c r="E146" s="192" t="s">
        <v>308</v>
      </c>
      <c r="F146" s="120">
        <v>26500</v>
      </c>
    </row>
    <row r="148" spans="1:6" ht="15.75" customHeight="1">
      <c r="A148" s="176" t="s">
        <v>314</v>
      </c>
      <c r="B148" s="191" t="s">
        <v>325</v>
      </c>
      <c r="C148" s="120" t="s">
        <v>310</v>
      </c>
      <c r="E148" s="191" t="s">
        <v>320</v>
      </c>
      <c r="F148" s="120" t="s">
        <v>310</v>
      </c>
    </row>
    <row r="149" spans="1:6" ht="15.75" customHeight="1">
      <c r="B149" s="192" t="s">
        <v>256</v>
      </c>
      <c r="C149" s="120">
        <v>800</v>
      </c>
      <c r="E149" s="192" t="s">
        <v>132</v>
      </c>
      <c r="F149" s="120">
        <v>3800</v>
      </c>
    </row>
    <row r="150" spans="1:6" ht="15.75" customHeight="1">
      <c r="B150" s="192" t="s">
        <v>260</v>
      </c>
      <c r="C150" s="120">
        <v>800</v>
      </c>
      <c r="E150" s="192" t="s">
        <v>119</v>
      </c>
      <c r="F150" s="120">
        <v>6500</v>
      </c>
    </row>
    <row r="151" spans="1:6" ht="15.75" customHeight="1">
      <c r="B151" s="192" t="s">
        <v>252</v>
      </c>
      <c r="C151" s="120">
        <v>8000</v>
      </c>
      <c r="E151" s="192" t="s">
        <v>233</v>
      </c>
      <c r="F151" s="120">
        <v>2600</v>
      </c>
    </row>
    <row r="152" spans="1:6" ht="15.75" customHeight="1">
      <c r="B152" s="192" t="s">
        <v>258</v>
      </c>
      <c r="C152" s="120">
        <v>1000</v>
      </c>
      <c r="E152" s="192" t="s">
        <v>308</v>
      </c>
      <c r="F152" s="120">
        <v>12900</v>
      </c>
    </row>
    <row r="153" spans="1:6" ht="15.75" customHeight="1">
      <c r="B153" s="192" t="s">
        <v>262</v>
      </c>
      <c r="C153" s="120">
        <v>2300</v>
      </c>
    </row>
    <row r="154" spans="1:6" ht="15.75" customHeight="1">
      <c r="B154" s="192" t="s">
        <v>308</v>
      </c>
      <c r="C154" s="120">
        <v>12900</v>
      </c>
    </row>
    <row r="156" spans="1:6" ht="15.75" customHeight="1">
      <c r="A156" s="188" t="s">
        <v>237</v>
      </c>
      <c r="B156" s="186"/>
      <c r="C156" s="189"/>
      <c r="D156" s="186"/>
      <c r="E156" s="186"/>
      <c r="F156" s="186"/>
    </row>
    <row r="158" spans="1:6" ht="15.75" customHeight="1">
      <c r="A158" s="176" t="s">
        <v>312</v>
      </c>
      <c r="B158" s="191" t="s">
        <v>325</v>
      </c>
      <c r="C158" s="120" t="s">
        <v>310</v>
      </c>
      <c r="E158" s="191" t="s">
        <v>320</v>
      </c>
      <c r="F158" s="120" t="s">
        <v>310</v>
      </c>
    </row>
    <row r="159" spans="1:6" ht="15.75" customHeight="1">
      <c r="B159" s="192" t="s">
        <v>238</v>
      </c>
      <c r="C159" s="120">
        <v>10000</v>
      </c>
      <c r="E159" s="192" t="s">
        <v>239</v>
      </c>
      <c r="F159" s="120">
        <v>2200</v>
      </c>
    </row>
    <row r="160" spans="1:6" ht="15.75" customHeight="1">
      <c r="B160" s="192" t="s">
        <v>308</v>
      </c>
      <c r="C160" s="120">
        <v>10000</v>
      </c>
      <c r="E160" s="192" t="s">
        <v>242</v>
      </c>
      <c r="F160" s="120">
        <v>5000</v>
      </c>
    </row>
    <row r="161" spans="1:6" ht="15.75" customHeight="1">
      <c r="E161" s="192" t="s">
        <v>241</v>
      </c>
      <c r="F161" s="120">
        <v>2800</v>
      </c>
    </row>
    <row r="162" spans="1:6" ht="15.75" customHeight="1">
      <c r="E162" s="192" t="s">
        <v>308</v>
      </c>
      <c r="F162" s="120">
        <v>10000</v>
      </c>
    </row>
    <row r="164" spans="1:6" ht="15.75" customHeight="1">
      <c r="A164" s="176" t="s">
        <v>314</v>
      </c>
      <c r="B164" s="191" t="s">
        <v>325</v>
      </c>
      <c r="C164" s="120" t="s">
        <v>310</v>
      </c>
      <c r="E164" s="191" t="s">
        <v>320</v>
      </c>
      <c r="F164" s="120" t="s">
        <v>310</v>
      </c>
    </row>
    <row r="165" spans="1:6" ht="15.75" customHeight="1">
      <c r="B165" s="192" t="s">
        <v>243</v>
      </c>
      <c r="C165" s="120">
        <v>1350</v>
      </c>
      <c r="E165" s="192" t="s">
        <v>247</v>
      </c>
      <c r="F165" s="120">
        <v>250</v>
      </c>
    </row>
    <row r="166" spans="1:6" ht="15.75" customHeight="1">
      <c r="B166" s="192" t="s">
        <v>249</v>
      </c>
      <c r="C166" s="120">
        <v>800</v>
      </c>
      <c r="E166" s="192" t="s">
        <v>250</v>
      </c>
      <c r="F166" s="120">
        <v>800</v>
      </c>
    </row>
    <row r="167" spans="1:6" ht="15.75" customHeight="1">
      <c r="B167" s="192" t="s">
        <v>308</v>
      </c>
      <c r="C167" s="120">
        <v>2150</v>
      </c>
      <c r="E167" s="192" t="s">
        <v>245</v>
      </c>
      <c r="F167" s="120">
        <v>500</v>
      </c>
    </row>
    <row r="168" spans="1:6" ht="15.75" customHeight="1">
      <c r="E168" s="192" t="s">
        <v>513</v>
      </c>
      <c r="F168" s="120">
        <v>600</v>
      </c>
    </row>
    <row r="169" spans="1:6" ht="15.75" customHeight="1">
      <c r="E169" s="192" t="s">
        <v>308</v>
      </c>
      <c r="F169" s="120">
        <v>2150</v>
      </c>
    </row>
    <row r="171" spans="1:6" ht="15.75" customHeight="1">
      <c r="A171" s="188" t="s">
        <v>324</v>
      </c>
      <c r="B171" s="186"/>
      <c r="C171" s="189"/>
      <c r="D171" s="186"/>
      <c r="E171" s="186"/>
      <c r="F171" s="186"/>
    </row>
    <row r="173" spans="1:6" ht="15.75" customHeight="1">
      <c r="A173" s="176" t="s">
        <v>312</v>
      </c>
      <c r="B173" s="191" t="s">
        <v>325</v>
      </c>
      <c r="C173" t="s">
        <v>310</v>
      </c>
      <c r="E173" s="191" t="s">
        <v>320</v>
      </c>
      <c r="F173" t="s">
        <v>310</v>
      </c>
    </row>
    <row r="174" spans="1:6" ht="15.75" customHeight="1">
      <c r="B174" s="192" t="s">
        <v>334</v>
      </c>
      <c r="C174" s="120">
        <v>35000</v>
      </c>
      <c r="E174" s="192" t="s">
        <v>341</v>
      </c>
      <c r="F174" s="120">
        <v>153500</v>
      </c>
    </row>
    <row r="175" spans="1:6" ht="15.75" customHeight="1">
      <c r="B175" s="192" t="s">
        <v>335</v>
      </c>
      <c r="C175" s="120">
        <v>8500</v>
      </c>
      <c r="E175" s="192" t="s">
        <v>308</v>
      </c>
      <c r="F175" s="120">
        <v>153500</v>
      </c>
    </row>
    <row r="176" spans="1:6" ht="15.75" customHeight="1">
      <c r="B176" s="192" t="s">
        <v>336</v>
      </c>
      <c r="C176" s="120">
        <v>110000</v>
      </c>
    </row>
    <row r="177" spans="1:6" ht="15.75" customHeight="1">
      <c r="B177" s="192" t="s">
        <v>308</v>
      </c>
      <c r="C177" s="120">
        <v>153500</v>
      </c>
    </row>
    <row r="178" spans="1:6" ht="15.75" customHeight="1">
      <c r="C178"/>
    </row>
    <row r="179" spans="1:6" ht="15.75" customHeight="1">
      <c r="A179" s="176" t="s">
        <v>314</v>
      </c>
      <c r="B179" s="191" t="s">
        <v>325</v>
      </c>
      <c r="C179" t="s">
        <v>310</v>
      </c>
      <c r="E179" s="191" t="s">
        <v>320</v>
      </c>
      <c r="F179" t="s">
        <v>310</v>
      </c>
    </row>
    <row r="180" spans="1:6" ht="15.75" customHeight="1">
      <c r="B180" s="192" t="s">
        <v>334</v>
      </c>
      <c r="C180" s="120">
        <v>35000</v>
      </c>
      <c r="E180" s="192" t="s">
        <v>132</v>
      </c>
      <c r="F180" s="120">
        <v>92000</v>
      </c>
    </row>
    <row r="181" spans="1:6" ht="15.75" customHeight="1">
      <c r="B181" s="192" t="s">
        <v>335</v>
      </c>
      <c r="C181" s="120">
        <v>7000</v>
      </c>
      <c r="E181" s="192" t="s">
        <v>148</v>
      </c>
      <c r="F181" s="120">
        <v>31000</v>
      </c>
    </row>
    <row r="182" spans="1:6" ht="15.75" customHeight="1">
      <c r="B182" s="192" t="s">
        <v>336</v>
      </c>
      <c r="C182" s="120">
        <v>97000</v>
      </c>
      <c r="E182" s="192" t="s">
        <v>164</v>
      </c>
      <c r="F182" s="120">
        <v>5000</v>
      </c>
    </row>
    <row r="183" spans="1:6" ht="15.75" customHeight="1">
      <c r="B183" s="192" t="s">
        <v>308</v>
      </c>
      <c r="C183" s="120">
        <v>139000</v>
      </c>
      <c r="E183" s="192" t="s">
        <v>245</v>
      </c>
      <c r="F183" s="120">
        <v>9000</v>
      </c>
    </row>
    <row r="184" spans="1:6" ht="15.75" customHeight="1">
      <c r="C184"/>
      <c r="E184" s="192" t="s">
        <v>217</v>
      </c>
      <c r="F184" s="120">
        <v>2000</v>
      </c>
    </row>
    <row r="185" spans="1:6" ht="15.75" customHeight="1">
      <c r="C185"/>
      <c r="E185" s="192" t="s">
        <v>308</v>
      </c>
      <c r="F185" s="120">
        <v>139000</v>
      </c>
    </row>
    <row r="186" spans="1:6" ht="15.75" customHeight="1">
      <c r="C186"/>
    </row>
    <row r="187" spans="1:6" ht="15.75" customHeight="1">
      <c r="A187" s="188" t="s">
        <v>345</v>
      </c>
      <c r="B187" s="186"/>
      <c r="C187" s="186"/>
      <c r="D187" s="186"/>
      <c r="E187" s="186"/>
      <c r="F187" s="186"/>
    </row>
    <row r="188" spans="1:6" ht="15.75" customHeight="1">
      <c r="C188"/>
    </row>
    <row r="189" spans="1:6" ht="15.75" customHeight="1">
      <c r="A189" s="176" t="s">
        <v>312</v>
      </c>
      <c r="B189" s="176" t="s">
        <v>313</v>
      </c>
      <c r="C189"/>
      <c r="E189" s="176" t="s">
        <v>313</v>
      </c>
    </row>
    <row r="190" spans="1:6" ht="15.75" customHeight="1">
      <c r="C190"/>
    </row>
    <row r="191" spans="1:6" ht="15.75" customHeight="1">
      <c r="A191" s="176" t="s">
        <v>346</v>
      </c>
      <c r="B191" s="191" t="s">
        <v>325</v>
      </c>
      <c r="C191" s="120" t="s">
        <v>347</v>
      </c>
      <c r="E191" s="191" t="s">
        <v>320</v>
      </c>
      <c r="F191" s="120" t="s">
        <v>347</v>
      </c>
    </row>
    <row r="192" spans="1:6" ht="15.75" customHeight="1">
      <c r="B192" s="192" t="s">
        <v>343</v>
      </c>
      <c r="C192" s="120">
        <v>59058</v>
      </c>
      <c r="E192" s="192" t="s">
        <v>36</v>
      </c>
      <c r="F192" s="120">
        <v>105435</v>
      </c>
    </row>
    <row r="193" spans="1:12" ht="15.75" customHeight="1">
      <c r="B193" s="192" t="s">
        <v>344</v>
      </c>
      <c r="C193" s="120">
        <v>128590</v>
      </c>
      <c r="E193" s="192" t="s">
        <v>38</v>
      </c>
      <c r="F193" s="120">
        <v>6000</v>
      </c>
    </row>
    <row r="194" spans="1:12" ht="15.75" customHeight="1">
      <c r="B194" s="192" t="s">
        <v>308</v>
      </c>
      <c r="C194" s="120">
        <v>187648</v>
      </c>
      <c r="E194" s="192" t="s">
        <v>39</v>
      </c>
      <c r="F194" s="120">
        <v>17155</v>
      </c>
    </row>
    <row r="195" spans="1:12" ht="15.75" customHeight="1">
      <c r="C195"/>
      <c r="E195" s="192" t="s">
        <v>33</v>
      </c>
      <c r="F195" s="120">
        <v>59058</v>
      </c>
    </row>
    <row r="196" spans="1:12" ht="15.75" customHeight="1">
      <c r="C196"/>
      <c r="E196" s="192" t="s">
        <v>308</v>
      </c>
      <c r="F196" s="120">
        <v>187648</v>
      </c>
    </row>
    <row r="197" spans="1:12" ht="15.75" customHeight="1">
      <c r="C197"/>
    </row>
    <row r="198" spans="1:12" ht="15.75" customHeight="1">
      <c r="C198"/>
    </row>
    <row r="199" spans="1:12" ht="15.75" customHeight="1">
      <c r="A199" s="188" t="s">
        <v>349</v>
      </c>
      <c r="B199" s="186"/>
      <c r="C199" s="186"/>
      <c r="D199" s="186"/>
      <c r="E199" s="186"/>
      <c r="F199" s="186"/>
    </row>
    <row r="200" spans="1:12" ht="15.75" customHeight="1">
      <c r="C200"/>
    </row>
    <row r="201" spans="1:12" ht="15.75" customHeight="1">
      <c r="A201" s="176" t="s">
        <v>312</v>
      </c>
      <c r="B201" s="191" t="s">
        <v>325</v>
      </c>
      <c r="C201" t="s">
        <v>310</v>
      </c>
      <c r="E201" s="191" t="s">
        <v>320</v>
      </c>
      <c r="F201" t="s">
        <v>310</v>
      </c>
      <c r="G201" s="191"/>
      <c r="H201" s="191"/>
      <c r="I201" s="191"/>
      <c r="J201" s="191"/>
      <c r="K201" s="191"/>
      <c r="L201" s="191"/>
    </row>
    <row r="202" spans="1:12" ht="15.75" customHeight="1">
      <c r="B202" s="192" t="s">
        <v>367</v>
      </c>
      <c r="C202" s="120">
        <v>1550</v>
      </c>
      <c r="E202" s="192" t="s">
        <v>373</v>
      </c>
      <c r="F202" s="120">
        <v>7470</v>
      </c>
    </row>
    <row r="203" spans="1:12" ht="15.75" customHeight="1">
      <c r="B203" s="192" t="s">
        <v>372</v>
      </c>
      <c r="C203" s="120">
        <v>2620</v>
      </c>
      <c r="E203" s="192" t="s">
        <v>404</v>
      </c>
      <c r="F203" s="120">
        <v>6420</v>
      </c>
    </row>
    <row r="204" spans="1:12" ht="15.75" customHeight="1">
      <c r="B204" s="192" t="s">
        <v>365</v>
      </c>
      <c r="C204" s="120">
        <v>420</v>
      </c>
      <c r="E204" s="192" t="s">
        <v>395</v>
      </c>
      <c r="F204" s="120">
        <v>2460</v>
      </c>
    </row>
    <row r="205" spans="1:12" ht="15.75" customHeight="1">
      <c r="B205" s="192" t="s">
        <v>366</v>
      </c>
      <c r="C205" s="120">
        <v>1376</v>
      </c>
      <c r="E205" s="192" t="s">
        <v>178</v>
      </c>
      <c r="F205" s="120">
        <v>4696</v>
      </c>
    </row>
    <row r="206" spans="1:12" ht="15.75" customHeight="1">
      <c r="B206" s="293" t="s">
        <v>368</v>
      </c>
      <c r="C206" s="294">
        <v>0</v>
      </c>
      <c r="E206" s="192" t="s">
        <v>396</v>
      </c>
      <c r="F206" s="120">
        <v>13930</v>
      </c>
    </row>
    <row r="207" spans="1:12" ht="15.75" customHeight="1">
      <c r="B207" s="291" t="s">
        <v>369</v>
      </c>
      <c r="C207" s="292">
        <v>0</v>
      </c>
      <c r="E207" s="192" t="s">
        <v>375</v>
      </c>
      <c r="F207" s="120">
        <v>1000</v>
      </c>
    </row>
    <row r="208" spans="1:12" ht="15.75" customHeight="1">
      <c r="B208" s="192" t="s">
        <v>371</v>
      </c>
      <c r="C208" s="120">
        <v>1350</v>
      </c>
      <c r="E208" s="192" t="s">
        <v>374</v>
      </c>
      <c r="F208" s="120">
        <v>2887.7200000000003</v>
      </c>
    </row>
    <row r="209" spans="2:6" ht="15.75" customHeight="1">
      <c r="B209" s="192" t="s">
        <v>376</v>
      </c>
      <c r="C209" s="120">
        <v>0</v>
      </c>
      <c r="E209" s="192" t="s">
        <v>383</v>
      </c>
      <c r="F209" s="120">
        <v>16466.93</v>
      </c>
    </row>
    <row r="210" spans="2:6" ht="15.75" customHeight="1">
      <c r="B210" s="291" t="s">
        <v>378</v>
      </c>
      <c r="C210" s="292">
        <v>0</v>
      </c>
      <c r="E210" s="192" t="s">
        <v>436</v>
      </c>
      <c r="F210" s="120">
        <v>100</v>
      </c>
    </row>
    <row r="211" spans="2:6" ht="15.75" customHeight="1">
      <c r="B211" s="192" t="s">
        <v>380</v>
      </c>
      <c r="C211" s="120">
        <v>2060</v>
      </c>
      <c r="E211" s="192" t="s">
        <v>308</v>
      </c>
      <c r="F211" s="120">
        <v>55430.65</v>
      </c>
    </row>
    <row r="212" spans="2:6" ht="15.75" customHeight="1">
      <c r="B212" s="192" t="s">
        <v>381</v>
      </c>
      <c r="C212" s="120">
        <v>540</v>
      </c>
    </row>
    <row r="213" spans="2:6" ht="15.75" customHeight="1">
      <c r="B213" s="192" t="s">
        <v>382</v>
      </c>
      <c r="C213" s="120">
        <v>4603.9299999999994</v>
      </c>
    </row>
    <row r="214" spans="2:6" ht="15.75" customHeight="1">
      <c r="B214" s="192" t="s">
        <v>385</v>
      </c>
      <c r="C214" s="120">
        <v>200</v>
      </c>
    </row>
    <row r="215" spans="2:6" ht="15.75" customHeight="1">
      <c r="B215" s="192" t="s">
        <v>386</v>
      </c>
      <c r="C215" s="120">
        <v>400</v>
      </c>
    </row>
    <row r="216" spans="2:6" ht="15.75" customHeight="1">
      <c r="B216" s="192" t="s">
        <v>387</v>
      </c>
      <c r="C216" s="120">
        <v>2850</v>
      </c>
    </row>
    <row r="217" spans="2:6" ht="15.75" customHeight="1">
      <c r="B217" s="192" t="s">
        <v>388</v>
      </c>
      <c r="C217" s="120">
        <v>4256</v>
      </c>
    </row>
    <row r="218" spans="2:6" ht="15.75" customHeight="1">
      <c r="B218" s="192" t="s">
        <v>389</v>
      </c>
      <c r="C218" s="120">
        <v>1000</v>
      </c>
    </row>
    <row r="219" spans="2:6" ht="15.75" customHeight="1">
      <c r="B219" s="192" t="s">
        <v>390</v>
      </c>
      <c r="C219" s="120">
        <v>0</v>
      </c>
    </row>
    <row r="220" spans="2:6" ht="15.75" customHeight="1">
      <c r="B220" s="291" t="s">
        <v>392</v>
      </c>
      <c r="C220" s="292">
        <v>0</v>
      </c>
    </row>
    <row r="221" spans="2:6" ht="15.75" customHeight="1">
      <c r="B221" s="291" t="s">
        <v>394</v>
      </c>
      <c r="C221" s="292">
        <v>14000</v>
      </c>
    </row>
    <row r="222" spans="2:6" ht="15.75" customHeight="1">
      <c r="B222" s="291" t="s">
        <v>397</v>
      </c>
      <c r="C222" s="292">
        <v>0</v>
      </c>
    </row>
    <row r="223" spans="2:6" ht="15.75" customHeight="1">
      <c r="B223" s="291" t="s">
        <v>398</v>
      </c>
      <c r="C223" s="292">
        <v>0</v>
      </c>
    </row>
    <row r="224" spans="2:6" ht="15.75" customHeight="1">
      <c r="B224" s="192" t="s">
        <v>399</v>
      </c>
      <c r="C224" s="120">
        <v>600</v>
      </c>
    </row>
    <row r="225" spans="1:8" ht="15.75" customHeight="1">
      <c r="B225" s="192" t="s">
        <v>400</v>
      </c>
      <c r="C225" s="120">
        <v>6377</v>
      </c>
    </row>
    <row r="226" spans="1:8" ht="15.75" customHeight="1">
      <c r="B226" s="192" t="s">
        <v>407</v>
      </c>
      <c r="C226" s="120">
        <v>3287.7200000000003</v>
      </c>
      <c r="E226" s="120"/>
    </row>
    <row r="227" spans="1:8" ht="15.75" customHeight="1">
      <c r="B227" s="192" t="s">
        <v>401</v>
      </c>
      <c r="C227" s="120">
        <v>920</v>
      </c>
    </row>
    <row r="228" spans="1:8" ht="15.75" customHeight="1">
      <c r="B228" s="192" t="s">
        <v>402</v>
      </c>
      <c r="C228" s="120">
        <v>70</v>
      </c>
    </row>
    <row r="229" spans="1:8" ht="15.75" customHeight="1">
      <c r="B229" s="192" t="s">
        <v>405</v>
      </c>
      <c r="C229" s="120">
        <v>2400</v>
      </c>
    </row>
    <row r="230" spans="1:8" ht="15.75" customHeight="1">
      <c r="B230" s="291" t="s">
        <v>406</v>
      </c>
      <c r="C230" s="292">
        <v>0</v>
      </c>
    </row>
    <row r="231" spans="1:8" ht="15.75" customHeight="1">
      <c r="B231" s="192" t="s">
        <v>408</v>
      </c>
      <c r="C231" s="120">
        <v>1050</v>
      </c>
    </row>
    <row r="232" spans="1:8" ht="15.75" customHeight="1">
      <c r="B232" s="192" t="s">
        <v>520</v>
      </c>
    </row>
    <row r="233" spans="1:8" ht="15.75" customHeight="1">
      <c r="B233" s="192" t="s">
        <v>435</v>
      </c>
      <c r="C233" s="120">
        <v>3200</v>
      </c>
    </row>
    <row r="234" spans="1:8" ht="15.75" customHeight="1">
      <c r="B234" s="192" t="s">
        <v>437</v>
      </c>
      <c r="C234" s="120">
        <v>300</v>
      </c>
    </row>
    <row r="235" spans="1:8" ht="15.75" customHeight="1">
      <c r="B235" s="192" t="s">
        <v>308</v>
      </c>
      <c r="C235" s="120">
        <v>55430.65</v>
      </c>
    </row>
    <row r="237" spans="1:8" ht="15.75" customHeight="1">
      <c r="A237" s="176" t="s">
        <v>314</v>
      </c>
      <c r="B237" s="191" t="s">
        <v>428</v>
      </c>
      <c r="C237" s="120" t="s">
        <v>310</v>
      </c>
      <c r="E237" s="191" t="s">
        <v>307</v>
      </c>
      <c r="F237" t="s">
        <v>310</v>
      </c>
    </row>
    <row r="238" spans="1:8" ht="15.75" customHeight="1">
      <c r="B238" s="192" t="s">
        <v>403</v>
      </c>
      <c r="C238" s="120">
        <v>3650</v>
      </c>
      <c r="E238" s="192" t="s">
        <v>425</v>
      </c>
      <c r="F238" s="120">
        <v>155</v>
      </c>
    </row>
    <row r="239" spans="1:8" ht="15.75" customHeight="1">
      <c r="B239" s="192" t="s">
        <v>420</v>
      </c>
      <c r="C239" s="120">
        <v>665</v>
      </c>
      <c r="E239" s="192" t="s">
        <v>134</v>
      </c>
      <c r="F239" s="120">
        <v>1391.72</v>
      </c>
      <c r="H239" s="120"/>
    </row>
    <row r="240" spans="1:8" ht="15.75" customHeight="1">
      <c r="B240" s="192" t="s">
        <v>367</v>
      </c>
      <c r="C240" s="120">
        <v>1310.56</v>
      </c>
      <c r="E240" s="192" t="s">
        <v>417</v>
      </c>
      <c r="F240" s="120">
        <v>2462.9300000000003</v>
      </c>
    </row>
    <row r="241" spans="2:6" ht="15.75" customHeight="1">
      <c r="B241" s="192" t="s">
        <v>365</v>
      </c>
      <c r="C241" s="120">
        <v>945</v>
      </c>
      <c r="E241" s="192" t="s">
        <v>414</v>
      </c>
      <c r="F241" s="120">
        <v>513.25</v>
      </c>
    </row>
    <row r="242" spans="2:6" ht="15.75" customHeight="1">
      <c r="B242" s="192" t="s">
        <v>366</v>
      </c>
      <c r="C242" s="120">
        <v>1615</v>
      </c>
      <c r="E242" s="192" t="s">
        <v>309</v>
      </c>
      <c r="F242" s="120">
        <v>4470</v>
      </c>
    </row>
    <row r="243" spans="2:6" ht="15.75" customHeight="1">
      <c r="B243" s="192" t="s">
        <v>368</v>
      </c>
      <c r="C243" s="120">
        <v>830</v>
      </c>
      <c r="E243" s="192" t="s">
        <v>410</v>
      </c>
      <c r="F243" s="120">
        <v>58.74</v>
      </c>
    </row>
    <row r="244" spans="2:6" ht="15.75" customHeight="1">
      <c r="B244" s="291" t="s">
        <v>369</v>
      </c>
      <c r="C244" s="292">
        <v>1090.9000000000001</v>
      </c>
      <c r="E244" s="192" t="s">
        <v>154</v>
      </c>
      <c r="F244" s="120">
        <v>1621.11</v>
      </c>
    </row>
    <row r="245" spans="2:6" ht="15.75" customHeight="1">
      <c r="B245" s="192" t="s">
        <v>371</v>
      </c>
      <c r="C245" s="120">
        <v>1837</v>
      </c>
      <c r="E245" s="192" t="s">
        <v>416</v>
      </c>
      <c r="F245" s="120">
        <v>4450</v>
      </c>
    </row>
    <row r="246" spans="2:6" ht="15.75" customHeight="1">
      <c r="B246" s="192" t="s">
        <v>412</v>
      </c>
      <c r="C246" s="120">
        <v>2994</v>
      </c>
      <c r="E246" s="192" t="s">
        <v>413</v>
      </c>
      <c r="F246" s="120">
        <v>2720</v>
      </c>
    </row>
    <row r="247" spans="2:6" ht="15.75" customHeight="1">
      <c r="B247" s="293" t="s">
        <v>376</v>
      </c>
      <c r="C247" s="294">
        <v>550</v>
      </c>
      <c r="E247" s="192" t="s">
        <v>121</v>
      </c>
      <c r="F247" s="120">
        <v>10523.99</v>
      </c>
    </row>
    <row r="248" spans="2:6" ht="15.75" customHeight="1">
      <c r="B248" s="291" t="s">
        <v>378</v>
      </c>
      <c r="C248" s="292">
        <v>1272.46</v>
      </c>
      <c r="E248" s="192" t="s">
        <v>148</v>
      </c>
      <c r="F248" s="120">
        <v>7252.2199999999993</v>
      </c>
    </row>
    <row r="249" spans="2:6" ht="15.75" customHeight="1">
      <c r="B249" s="192" t="s">
        <v>380</v>
      </c>
      <c r="C249" s="120">
        <v>450</v>
      </c>
      <c r="E249" s="192" t="s">
        <v>415</v>
      </c>
      <c r="F249" s="120">
        <v>520.79</v>
      </c>
    </row>
    <row r="250" spans="2:6" ht="15.75" customHeight="1">
      <c r="B250" s="192" t="s">
        <v>381</v>
      </c>
      <c r="C250" s="120">
        <v>60</v>
      </c>
      <c r="E250" s="192" t="s">
        <v>411</v>
      </c>
      <c r="F250" s="120">
        <v>1625</v>
      </c>
    </row>
    <row r="251" spans="2:6" ht="15.75" customHeight="1">
      <c r="B251" s="192" t="s">
        <v>382</v>
      </c>
      <c r="C251" s="120">
        <v>7640</v>
      </c>
      <c r="E251" s="192" t="s">
        <v>119</v>
      </c>
      <c r="F251" s="120">
        <v>11798.59</v>
      </c>
    </row>
    <row r="252" spans="2:6" ht="15.75" customHeight="1">
      <c r="B252" s="192" t="s">
        <v>386</v>
      </c>
      <c r="C252" s="120">
        <v>835</v>
      </c>
      <c r="E252" s="192" t="s">
        <v>421</v>
      </c>
      <c r="F252" s="120">
        <v>210</v>
      </c>
    </row>
    <row r="253" spans="2:6" ht="15.75" customHeight="1">
      <c r="B253" s="192" t="s">
        <v>387</v>
      </c>
      <c r="C253" s="120">
        <v>4724.62</v>
      </c>
      <c r="E253" s="192" t="s">
        <v>383</v>
      </c>
      <c r="F253" s="120">
        <v>26452.75</v>
      </c>
    </row>
    <row r="254" spans="2:6" ht="15.75" customHeight="1">
      <c r="B254" s="192" t="s">
        <v>388</v>
      </c>
      <c r="C254" s="120">
        <v>6575.69</v>
      </c>
      <c r="E254" s="192" t="s">
        <v>172</v>
      </c>
      <c r="F254" s="120">
        <v>12028.98</v>
      </c>
    </row>
    <row r="255" spans="2:6" ht="15.75" customHeight="1">
      <c r="B255" s="192" t="s">
        <v>389</v>
      </c>
      <c r="C255" s="120">
        <v>550</v>
      </c>
      <c r="E255" s="192" t="s">
        <v>308</v>
      </c>
      <c r="F255" s="120">
        <v>88255.069999999992</v>
      </c>
    </row>
    <row r="256" spans="2:6" ht="15.75" customHeight="1">
      <c r="B256" s="192" t="s">
        <v>390</v>
      </c>
      <c r="C256" s="120">
        <v>540</v>
      </c>
    </row>
    <row r="257" spans="2:3" ht="15.75" customHeight="1">
      <c r="B257" s="291" t="s">
        <v>392</v>
      </c>
      <c r="C257" s="292">
        <v>739.04</v>
      </c>
    </row>
    <row r="258" spans="2:3" ht="15.75" customHeight="1">
      <c r="B258" s="192" t="s">
        <v>394</v>
      </c>
      <c r="C258" s="120">
        <v>12468.99</v>
      </c>
    </row>
    <row r="259" spans="2:3" ht="15.75" customHeight="1">
      <c r="B259" s="291" t="s">
        <v>397</v>
      </c>
      <c r="C259" s="292">
        <v>7761.4</v>
      </c>
    </row>
    <row r="260" spans="2:3" ht="15.75" customHeight="1">
      <c r="B260" s="291" t="s">
        <v>398</v>
      </c>
      <c r="C260" s="292">
        <v>593.02</v>
      </c>
    </row>
    <row r="261" spans="2:3" ht="15.75" customHeight="1">
      <c r="B261" s="192" t="s">
        <v>399</v>
      </c>
      <c r="C261" s="120">
        <v>1693.66</v>
      </c>
    </row>
    <row r="262" spans="2:3" ht="15.75" customHeight="1">
      <c r="B262" s="192" t="s">
        <v>400</v>
      </c>
      <c r="C262" s="120">
        <v>11328.53</v>
      </c>
    </row>
    <row r="263" spans="2:3" ht="15.75" customHeight="1">
      <c r="B263" s="192" t="s">
        <v>407</v>
      </c>
      <c r="C263" s="120">
        <v>3559.04</v>
      </c>
    </row>
    <row r="264" spans="2:3" ht="15.75" customHeight="1">
      <c r="B264" s="192" t="s">
        <v>401</v>
      </c>
      <c r="C264" s="120">
        <v>940</v>
      </c>
    </row>
    <row r="265" spans="2:3" ht="15.75" customHeight="1">
      <c r="B265" s="192" t="s">
        <v>519</v>
      </c>
      <c r="C265" s="120">
        <v>539</v>
      </c>
    </row>
    <row r="266" spans="2:3" ht="15.75" customHeight="1">
      <c r="B266" s="192" t="s">
        <v>405</v>
      </c>
      <c r="C266" s="120">
        <v>3295</v>
      </c>
    </row>
    <row r="267" spans="2:3" ht="15.75" customHeight="1">
      <c r="B267" s="291" t="s">
        <v>406</v>
      </c>
      <c r="C267" s="292">
        <v>572.16</v>
      </c>
    </row>
    <row r="268" spans="2:3" ht="15.75" customHeight="1">
      <c r="B268" s="192" t="s">
        <v>408</v>
      </c>
      <c r="C268" s="120">
        <v>1910</v>
      </c>
    </row>
    <row r="269" spans="2:3" ht="15.75" customHeight="1">
      <c r="B269" s="192" t="s">
        <v>391</v>
      </c>
      <c r="C269" s="120">
        <v>760</v>
      </c>
    </row>
    <row r="270" spans="2:3" ht="15.75" customHeight="1">
      <c r="B270" s="192" t="s">
        <v>520</v>
      </c>
      <c r="C270" s="120">
        <v>3960</v>
      </c>
    </row>
    <row r="271" spans="2:3" ht="15.75" customHeight="1">
      <c r="B271" s="192" t="s">
        <v>308</v>
      </c>
      <c r="C271" s="120">
        <v>88255.069999999992</v>
      </c>
    </row>
    <row r="272" spans="2:3" ht="12.75">
      <c r="C272"/>
    </row>
  </sheetData>
  <pageMargins left="0.7" right="0.7" top="0.75" bottom="0.75" header="0.3" footer="0.3"/>
  <pageSetup orientation="portrait" r:id="rId35"/>
  <drawing r:id="rId3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3C47D"/>
    <outlinePr summaryBelow="0" summaryRight="0"/>
  </sheetPr>
  <dimension ref="A1:E30"/>
  <sheetViews>
    <sheetView zoomScale="85" zoomScaleNormal="85" zoomScaleSheetLayoutView="100" workbookViewId="0">
      <selection activeCell="C21" sqref="C21"/>
    </sheetView>
  </sheetViews>
  <sheetFormatPr defaultColWidth="14.46484375" defaultRowHeight="15.75" customHeight="1"/>
  <cols>
    <col min="1" max="1" width="35.59765625" customWidth="1"/>
    <col min="2" max="2" width="45.59765625" customWidth="1"/>
    <col min="3" max="3" width="15.59765625" customWidth="1"/>
    <col min="4" max="4" width="81.46484375" bestFit="1" customWidth="1"/>
  </cols>
  <sheetData>
    <row r="1" spans="1:5" ht="25.5">
      <c r="A1" s="72" t="s">
        <v>303</v>
      </c>
      <c r="B1" s="95"/>
      <c r="C1" s="96"/>
      <c r="D1" s="96"/>
      <c r="E1" s="73"/>
    </row>
    <row r="2" spans="1:5" ht="25.5">
      <c r="A2" s="74" t="s">
        <v>22</v>
      </c>
      <c r="B2" s="95"/>
      <c r="C2" s="96"/>
      <c r="D2" s="96"/>
      <c r="E2" s="73"/>
    </row>
    <row r="3" spans="1:5" ht="14.25">
      <c r="A3" s="75" t="s">
        <v>24</v>
      </c>
      <c r="B3" s="95"/>
      <c r="C3" s="96"/>
      <c r="D3" s="96"/>
      <c r="E3" s="73"/>
    </row>
    <row r="4" spans="1:5" ht="13.15">
      <c r="A4" s="97"/>
      <c r="B4" s="95"/>
      <c r="C4" s="96"/>
      <c r="D4" s="96"/>
      <c r="E4" s="73"/>
    </row>
    <row r="5" spans="1:5" ht="13.15">
      <c r="A5" s="98"/>
      <c r="B5" s="98"/>
      <c r="C5" s="98"/>
      <c r="D5" s="98"/>
    </row>
    <row r="6" spans="1:5" ht="21">
      <c r="A6" s="76"/>
      <c r="B6" s="77" t="s">
        <v>0</v>
      </c>
      <c r="C6" s="99"/>
      <c r="D6" s="99"/>
    </row>
    <row r="7" spans="1:5" ht="14.25">
      <c r="A7" s="197" t="s">
        <v>110</v>
      </c>
      <c r="B7" s="78" t="s">
        <v>111</v>
      </c>
      <c r="C7" s="78" t="s">
        <v>2</v>
      </c>
      <c r="D7" s="78" t="s">
        <v>112</v>
      </c>
    </row>
    <row r="8" spans="1:5" ht="13.15">
      <c r="A8" s="98"/>
      <c r="B8" s="101"/>
      <c r="C8" s="100"/>
      <c r="D8" s="101"/>
    </row>
    <row r="9" spans="1:5" ht="14.25">
      <c r="A9" s="99"/>
      <c r="B9" s="79" t="s">
        <v>4</v>
      </c>
      <c r="C9" s="103">
        <f>SUM(C8:C8)</f>
        <v>0</v>
      </c>
      <c r="D9" s="102"/>
    </row>
    <row r="10" spans="1:5" ht="21">
      <c r="B10" s="81" t="s">
        <v>7</v>
      </c>
      <c r="C10" s="104"/>
      <c r="D10" s="104"/>
    </row>
    <row r="11" spans="1:5" ht="14.25">
      <c r="A11" s="80" t="s">
        <v>110</v>
      </c>
      <c r="B11" s="82" t="s">
        <v>113</v>
      </c>
      <c r="C11" s="82" t="s">
        <v>2</v>
      </c>
      <c r="D11" s="83" t="s">
        <v>112</v>
      </c>
    </row>
    <row r="12" spans="1:5" ht="14.25">
      <c r="A12" s="84" t="s">
        <v>114</v>
      </c>
      <c r="B12" s="85" t="s">
        <v>115</v>
      </c>
      <c r="C12" s="116">
        <v>400</v>
      </c>
      <c r="D12" s="86" t="s">
        <v>116</v>
      </c>
    </row>
    <row r="13" spans="1:5" ht="15.75" customHeight="1">
      <c r="A13" s="84" t="s">
        <v>117</v>
      </c>
      <c r="B13" s="85" t="s">
        <v>115</v>
      </c>
      <c r="C13" s="116">
        <v>600</v>
      </c>
      <c r="D13" s="86" t="s">
        <v>116</v>
      </c>
    </row>
    <row r="14" spans="1:5" ht="14.25">
      <c r="A14" s="49" t="s">
        <v>118</v>
      </c>
      <c r="B14" s="87" t="s">
        <v>119</v>
      </c>
      <c r="C14" s="116">
        <v>1700</v>
      </c>
      <c r="D14" s="86" t="s">
        <v>120</v>
      </c>
    </row>
    <row r="15" spans="1:5" ht="14.25">
      <c r="A15" s="49" t="s">
        <v>118</v>
      </c>
      <c r="B15" s="88" t="s">
        <v>121</v>
      </c>
      <c r="C15" s="116">
        <v>500</v>
      </c>
      <c r="D15" s="17" t="s">
        <v>122</v>
      </c>
    </row>
    <row r="16" spans="1:5" ht="14.25">
      <c r="A16" s="49" t="s">
        <v>118</v>
      </c>
      <c r="B16" s="88" t="s">
        <v>123</v>
      </c>
      <c r="C16" s="116">
        <v>200</v>
      </c>
      <c r="D16" s="86" t="s">
        <v>124</v>
      </c>
    </row>
    <row r="17" spans="1:4" ht="14.25">
      <c r="A17" s="49" t="s">
        <v>125</v>
      </c>
      <c r="B17" s="88" t="s">
        <v>126</v>
      </c>
      <c r="C17" s="116">
        <v>100</v>
      </c>
      <c r="D17" s="86" t="s">
        <v>127</v>
      </c>
    </row>
    <row r="18" spans="1:4" ht="14.25">
      <c r="A18" s="49" t="s">
        <v>125</v>
      </c>
      <c r="B18" s="88" t="s">
        <v>128</v>
      </c>
      <c r="C18" s="116">
        <v>1000</v>
      </c>
      <c r="D18" s="86" t="s">
        <v>129</v>
      </c>
    </row>
    <row r="19" spans="1:4" ht="14.25">
      <c r="A19" s="49" t="s">
        <v>125</v>
      </c>
      <c r="B19" s="88" t="s">
        <v>119</v>
      </c>
      <c r="C19" s="116">
        <v>400</v>
      </c>
      <c r="D19" s="86" t="s">
        <v>130</v>
      </c>
    </row>
    <row r="20" spans="1:4" ht="14.25">
      <c r="A20" s="84" t="s">
        <v>131</v>
      </c>
      <c r="B20" s="89" t="s">
        <v>132</v>
      </c>
      <c r="C20" s="117">
        <v>250</v>
      </c>
      <c r="D20" s="118"/>
    </row>
    <row r="21" spans="1:4" ht="14.25">
      <c r="A21" s="84" t="s">
        <v>131</v>
      </c>
      <c r="B21" s="86" t="s">
        <v>119</v>
      </c>
      <c r="C21" s="100">
        <v>250</v>
      </c>
      <c r="D21" s="101"/>
    </row>
    <row r="22" spans="1:4" ht="14.25">
      <c r="A22" s="84" t="s">
        <v>133</v>
      </c>
      <c r="B22" s="86" t="s">
        <v>134</v>
      </c>
      <c r="C22" s="100">
        <v>1040</v>
      </c>
      <c r="D22" s="86" t="s">
        <v>135</v>
      </c>
    </row>
    <row r="23" spans="1:4" ht="14.25">
      <c r="A23" s="84" t="s">
        <v>133</v>
      </c>
      <c r="B23" s="86" t="s">
        <v>136</v>
      </c>
      <c r="C23" s="100">
        <v>300</v>
      </c>
      <c r="D23" s="90" t="s">
        <v>137</v>
      </c>
    </row>
    <row r="24" spans="1:4" ht="14.25">
      <c r="A24" s="84" t="s">
        <v>133</v>
      </c>
      <c r="B24" s="86" t="s">
        <v>138</v>
      </c>
      <c r="C24" s="100">
        <v>10500</v>
      </c>
      <c r="D24" s="90" t="s">
        <v>139</v>
      </c>
    </row>
    <row r="25" spans="1:4" ht="14.25">
      <c r="A25" s="84" t="s">
        <v>133</v>
      </c>
      <c r="B25" s="91" t="s">
        <v>140</v>
      </c>
      <c r="C25" s="105">
        <v>4000</v>
      </c>
      <c r="D25" s="92" t="s">
        <v>493</v>
      </c>
    </row>
    <row r="26" spans="1:4" ht="13.15">
      <c r="A26" s="110"/>
      <c r="B26" s="111" t="s">
        <v>15</v>
      </c>
      <c r="C26" s="112">
        <f>SUM(C12:C25)</f>
        <v>21240</v>
      </c>
      <c r="D26" s="111"/>
    </row>
    <row r="27" spans="1:4" ht="15.75" customHeight="1">
      <c r="A27" s="98"/>
      <c r="B27" s="101"/>
      <c r="C27" s="101"/>
      <c r="D27" s="101"/>
    </row>
    <row r="28" spans="1:4" ht="21">
      <c r="A28" s="113"/>
      <c r="B28" s="93" t="s">
        <v>17</v>
      </c>
      <c r="C28" s="114">
        <f>C9-C26</f>
        <v>-21240</v>
      </c>
      <c r="D28" s="115"/>
    </row>
    <row r="29" spans="1:4" ht="12.75"/>
    <row r="30" spans="1:4" ht="15.75" customHeight="1">
      <c r="A30" s="180" t="s">
        <v>338</v>
      </c>
      <c r="B30" s="176" t="s">
        <v>481</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3C47D"/>
    <outlinePr summaryBelow="0" summaryRight="0"/>
  </sheetPr>
  <dimension ref="A1:E37"/>
  <sheetViews>
    <sheetView zoomScale="60" zoomScaleNormal="60" zoomScaleSheetLayoutView="100" workbookViewId="0">
      <selection activeCell="B15" sqref="B15"/>
    </sheetView>
  </sheetViews>
  <sheetFormatPr defaultColWidth="14.46484375" defaultRowHeight="15.75" customHeight="1"/>
  <cols>
    <col min="1" max="1" width="42.1328125" bestFit="1" customWidth="1"/>
    <col min="2" max="2" width="45.59765625" customWidth="1"/>
    <col min="3" max="3" width="15.59765625" customWidth="1"/>
    <col min="4" max="4" width="109.06640625" bestFit="1" customWidth="1"/>
  </cols>
  <sheetData>
    <row r="1" spans="1:5" ht="25.5">
      <c r="A1" s="119" t="s">
        <v>302</v>
      </c>
      <c r="B1" s="95"/>
      <c r="C1" s="96"/>
      <c r="D1" s="96"/>
      <c r="E1" s="73"/>
    </row>
    <row r="2" spans="1:5" ht="25.5">
      <c r="A2" s="74" t="s">
        <v>22</v>
      </c>
      <c r="B2" s="95"/>
      <c r="C2" s="96"/>
      <c r="D2" s="96"/>
      <c r="E2" s="73"/>
    </row>
    <row r="3" spans="1:5" ht="14.25">
      <c r="A3" s="75" t="s">
        <v>141</v>
      </c>
      <c r="B3" s="95"/>
      <c r="C3" s="96"/>
      <c r="D3" s="96"/>
      <c r="E3" s="73"/>
    </row>
    <row r="4" spans="1:5" ht="13.15">
      <c r="A4" s="97"/>
      <c r="B4" s="95"/>
      <c r="C4" s="96"/>
      <c r="D4" s="96"/>
      <c r="E4" s="73"/>
    </row>
    <row r="5" spans="1:5" ht="13.15">
      <c r="A5" s="98"/>
      <c r="B5" s="98"/>
      <c r="C5" s="98"/>
      <c r="D5" s="98"/>
    </row>
    <row r="6" spans="1:5" ht="21">
      <c r="A6" s="76"/>
      <c r="B6" s="77" t="s">
        <v>0</v>
      </c>
      <c r="C6" s="99"/>
      <c r="D6" s="99"/>
    </row>
    <row r="7" spans="1:5" ht="14.25">
      <c r="A7" s="195" t="s">
        <v>110</v>
      </c>
      <c r="B7" s="78" t="s">
        <v>113</v>
      </c>
      <c r="C7" s="78" t="s">
        <v>2</v>
      </c>
      <c r="D7" s="78" t="s">
        <v>112</v>
      </c>
    </row>
    <row r="8" spans="1:5" ht="14.25">
      <c r="A8" s="84" t="s">
        <v>142</v>
      </c>
      <c r="B8" s="86" t="s">
        <v>143</v>
      </c>
      <c r="C8" s="100">
        <v>1500</v>
      </c>
      <c r="D8" s="101" t="s">
        <v>144</v>
      </c>
    </row>
    <row r="9" spans="1:5" ht="13.15">
      <c r="A9" s="99"/>
      <c r="B9" s="102" t="s">
        <v>4</v>
      </c>
      <c r="C9" s="103">
        <f>SUM(C8:C8)</f>
        <v>1500</v>
      </c>
      <c r="D9" s="102"/>
    </row>
    <row r="10" spans="1:5" ht="21">
      <c r="A10" s="194"/>
      <c r="B10" s="81" t="s">
        <v>7</v>
      </c>
      <c r="C10" s="104"/>
      <c r="D10" s="104"/>
    </row>
    <row r="11" spans="1:5" ht="14.25">
      <c r="A11" s="80" t="s">
        <v>110</v>
      </c>
      <c r="B11" s="83" t="s">
        <v>113</v>
      </c>
      <c r="C11" s="83" t="s">
        <v>2</v>
      </c>
      <c r="D11" s="83" t="s">
        <v>26</v>
      </c>
    </row>
    <row r="12" spans="1:5" ht="14.25">
      <c r="A12" s="84" t="s">
        <v>145</v>
      </c>
      <c r="B12" s="91" t="s">
        <v>132</v>
      </c>
      <c r="C12" s="105">
        <v>1000</v>
      </c>
      <c r="D12" s="106" t="s">
        <v>146</v>
      </c>
    </row>
    <row r="13" spans="1:5" ht="15.75" customHeight="1">
      <c r="A13" s="84" t="s">
        <v>147</v>
      </c>
      <c r="B13" s="86" t="s">
        <v>148</v>
      </c>
      <c r="C13" s="100">
        <v>5000</v>
      </c>
      <c r="D13" s="101" t="s">
        <v>149</v>
      </c>
    </row>
    <row r="14" spans="1:5" ht="14.25">
      <c r="A14" s="84" t="s">
        <v>147</v>
      </c>
      <c r="B14" s="86" t="s">
        <v>119</v>
      </c>
      <c r="C14" s="100">
        <v>5000</v>
      </c>
      <c r="D14" s="98"/>
    </row>
    <row r="15" spans="1:5" ht="14.25">
      <c r="A15" s="84" t="s">
        <v>147</v>
      </c>
      <c r="B15" s="86" t="s">
        <v>132</v>
      </c>
      <c r="C15" s="100">
        <v>2000</v>
      </c>
      <c r="D15" s="101"/>
    </row>
    <row r="16" spans="1:5" ht="14.25">
      <c r="A16" s="84" t="s">
        <v>150</v>
      </c>
      <c r="B16" s="90" t="s">
        <v>119</v>
      </c>
      <c r="C16" s="107">
        <v>300</v>
      </c>
      <c r="D16" s="90" t="s">
        <v>151</v>
      </c>
    </row>
    <row r="17" spans="1:4" ht="14.25">
      <c r="A17" s="84" t="s">
        <v>150</v>
      </c>
      <c r="B17" s="90" t="s">
        <v>148</v>
      </c>
      <c r="C17" s="107">
        <v>700</v>
      </c>
      <c r="D17" s="108"/>
    </row>
    <row r="18" spans="1:4" ht="14.25">
      <c r="A18" s="84" t="s">
        <v>152</v>
      </c>
      <c r="B18" s="86" t="s">
        <v>119</v>
      </c>
      <c r="C18" s="100">
        <v>800</v>
      </c>
      <c r="D18" s="86" t="s">
        <v>153</v>
      </c>
    </row>
    <row r="19" spans="1:4" ht="14.25">
      <c r="A19" s="84" t="s">
        <v>142</v>
      </c>
      <c r="B19" s="86" t="s">
        <v>154</v>
      </c>
      <c r="C19" s="100">
        <v>800</v>
      </c>
      <c r="D19" s="101" t="s">
        <v>155</v>
      </c>
    </row>
    <row r="20" spans="1:4" ht="14.25">
      <c r="A20" s="84" t="s">
        <v>142</v>
      </c>
      <c r="B20" s="86" t="s">
        <v>119</v>
      </c>
      <c r="C20" s="100">
        <v>200</v>
      </c>
      <c r="D20" s="101" t="s">
        <v>155</v>
      </c>
    </row>
    <row r="21" spans="1:4" ht="14.25">
      <c r="A21" s="84" t="s">
        <v>142</v>
      </c>
      <c r="B21" s="86" t="s">
        <v>132</v>
      </c>
      <c r="C21" s="100">
        <v>700</v>
      </c>
      <c r="D21" s="101" t="s">
        <v>155</v>
      </c>
    </row>
    <row r="22" spans="1:4" ht="14.25">
      <c r="A22" s="84" t="s">
        <v>142</v>
      </c>
      <c r="B22" s="86" t="s">
        <v>156</v>
      </c>
      <c r="C22" s="100">
        <v>800</v>
      </c>
      <c r="D22" s="101" t="s">
        <v>155</v>
      </c>
    </row>
    <row r="23" spans="1:4" ht="14.25">
      <c r="A23" s="84" t="s">
        <v>514</v>
      </c>
      <c r="B23" s="94" t="s">
        <v>134</v>
      </c>
      <c r="C23" s="109">
        <v>1700</v>
      </c>
      <c r="D23" s="94" t="s">
        <v>157</v>
      </c>
    </row>
    <row r="24" spans="1:4" ht="14.25">
      <c r="A24" s="318" t="s">
        <v>511</v>
      </c>
      <c r="B24" s="85" t="s">
        <v>115</v>
      </c>
      <c r="C24" s="322">
        <v>1000</v>
      </c>
      <c r="D24" s="85" t="s">
        <v>512</v>
      </c>
    </row>
    <row r="25" spans="1:4" ht="14.25">
      <c r="A25" s="318" t="s">
        <v>158</v>
      </c>
      <c r="B25" s="319" t="s">
        <v>159</v>
      </c>
      <c r="C25" s="320">
        <v>1000</v>
      </c>
      <c r="D25" s="321" t="s">
        <v>160</v>
      </c>
    </row>
    <row r="26" spans="1:4" ht="14.25">
      <c r="A26" s="84" t="s">
        <v>158</v>
      </c>
      <c r="B26" s="86" t="s">
        <v>136</v>
      </c>
      <c r="C26" s="100">
        <v>60</v>
      </c>
      <c r="D26" s="90" t="s">
        <v>161</v>
      </c>
    </row>
    <row r="27" spans="1:4" ht="14.25">
      <c r="A27" s="84" t="s">
        <v>158</v>
      </c>
      <c r="B27" s="86" t="s">
        <v>162</v>
      </c>
      <c r="C27" s="100">
        <v>800</v>
      </c>
      <c r="D27" s="90" t="s">
        <v>163</v>
      </c>
    </row>
    <row r="28" spans="1:4" ht="14.25">
      <c r="A28" s="84" t="s">
        <v>158</v>
      </c>
      <c r="B28" s="91" t="s">
        <v>164</v>
      </c>
      <c r="C28" s="105">
        <v>500</v>
      </c>
      <c r="D28" s="92" t="s">
        <v>165</v>
      </c>
    </row>
    <row r="29" spans="1:4" ht="14.25">
      <c r="A29" s="84" t="s">
        <v>158</v>
      </c>
      <c r="B29" s="86" t="s">
        <v>119</v>
      </c>
      <c r="C29" s="100">
        <v>500</v>
      </c>
      <c r="D29" s="86" t="s">
        <v>166</v>
      </c>
    </row>
    <row r="30" spans="1:4" ht="13.15">
      <c r="A30" s="98"/>
      <c r="B30" s="98"/>
      <c r="C30" s="98"/>
      <c r="D30" s="98"/>
    </row>
    <row r="31" spans="1:4" ht="13.15">
      <c r="A31" s="110"/>
      <c r="B31" s="111" t="s">
        <v>15</v>
      </c>
      <c r="C31" s="112">
        <f>SUM(C12:C29)</f>
        <v>22860</v>
      </c>
      <c r="D31" s="111"/>
    </row>
    <row r="32" spans="1:4" ht="13.15">
      <c r="A32" s="98"/>
      <c r="B32" s="101"/>
      <c r="C32" s="101"/>
      <c r="D32" s="101"/>
    </row>
    <row r="33" spans="1:4" ht="21">
      <c r="A33" s="113"/>
      <c r="B33" s="93" t="s">
        <v>17</v>
      </c>
      <c r="C33" s="114">
        <f>C9-C31</f>
        <v>-21360</v>
      </c>
      <c r="D33" s="115"/>
    </row>
    <row r="34" spans="1:4" ht="13.15">
      <c r="A34" s="98"/>
      <c r="B34" s="98"/>
      <c r="C34" s="98"/>
      <c r="D34" s="98"/>
    </row>
    <row r="35" spans="1:4" ht="13.15">
      <c r="A35" s="195" t="s">
        <v>338</v>
      </c>
      <c r="B35" s="98" t="s">
        <v>481</v>
      </c>
      <c r="C35" s="98"/>
      <c r="D35" s="98"/>
    </row>
    <row r="36" spans="1:4" ht="13.15">
      <c r="A36" s="98"/>
      <c r="B36" s="98"/>
      <c r="C36" s="98"/>
      <c r="D36" s="98"/>
    </row>
    <row r="37" spans="1:4" ht="15.75" customHeight="1">
      <c r="A37" s="98"/>
      <c r="B37" s="98"/>
      <c r="C37" s="98"/>
      <c r="D37" s="98"/>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outlinePr summaryBelow="0" summaryRight="0"/>
  </sheetPr>
  <dimension ref="A1:E48"/>
  <sheetViews>
    <sheetView zoomScale="60" zoomScaleNormal="60" zoomScaleSheetLayoutView="98" workbookViewId="0">
      <selection activeCell="F40" sqref="F40"/>
    </sheetView>
  </sheetViews>
  <sheetFormatPr defaultColWidth="14.46484375" defaultRowHeight="15.75" customHeight="1"/>
  <cols>
    <col min="1" max="1" width="44.86328125" bestFit="1" customWidth="1"/>
    <col min="2" max="2" width="45.59765625" customWidth="1"/>
    <col min="3" max="3" width="15.59765625" customWidth="1"/>
    <col min="4" max="4" width="110.59765625" bestFit="1" customWidth="1"/>
  </cols>
  <sheetData>
    <row r="1" spans="1:5" ht="25.5">
      <c r="A1" s="72" t="s">
        <v>301</v>
      </c>
      <c r="B1" s="95"/>
      <c r="C1" s="96"/>
      <c r="D1" s="96"/>
      <c r="E1" s="95"/>
    </row>
    <row r="2" spans="1:5" ht="25.5">
      <c r="A2" s="74" t="s">
        <v>22</v>
      </c>
      <c r="B2" s="323"/>
      <c r="C2" s="96"/>
      <c r="D2" s="96"/>
      <c r="E2" s="95"/>
    </row>
    <row r="3" spans="1:5" ht="14.25">
      <c r="A3" s="75" t="s">
        <v>95</v>
      </c>
      <c r="B3" s="95"/>
      <c r="C3" s="96"/>
      <c r="D3" s="96"/>
      <c r="E3" s="95"/>
    </row>
    <row r="4" spans="1:5" ht="13.15">
      <c r="A4" s="97"/>
      <c r="B4" s="95"/>
      <c r="C4" s="96"/>
      <c r="D4" s="96"/>
      <c r="E4" s="95"/>
    </row>
    <row r="5" spans="1:5" ht="13.15">
      <c r="A5" s="98"/>
      <c r="B5" s="98"/>
      <c r="C5" s="98"/>
      <c r="D5" s="98"/>
      <c r="E5" s="98"/>
    </row>
    <row r="6" spans="1:5" ht="21">
      <c r="A6" s="76"/>
      <c r="B6" s="77" t="s">
        <v>0</v>
      </c>
      <c r="C6" s="99"/>
      <c r="D6" s="99"/>
      <c r="E6" s="98"/>
    </row>
    <row r="7" spans="1:5" ht="14.25">
      <c r="A7" s="197" t="s">
        <v>167</v>
      </c>
      <c r="B7" s="78" t="s">
        <v>113</v>
      </c>
      <c r="C7" s="78" t="s">
        <v>2</v>
      </c>
      <c r="D7" s="78" t="s">
        <v>112</v>
      </c>
      <c r="E7" s="98"/>
    </row>
    <row r="8" spans="1:5" ht="14.25">
      <c r="A8" s="84" t="s">
        <v>187</v>
      </c>
      <c r="B8" s="86" t="s">
        <v>168</v>
      </c>
      <c r="C8" s="100">
        <f>133276.18*2</f>
        <v>266552.36</v>
      </c>
      <c r="D8" s="86" t="s">
        <v>169</v>
      </c>
      <c r="E8" s="98"/>
    </row>
    <row r="9" spans="1:5" ht="14.25">
      <c r="A9" s="84" t="s">
        <v>187</v>
      </c>
      <c r="B9" s="86" t="s">
        <v>170</v>
      </c>
      <c r="C9" s="100">
        <f>8077.25*2</f>
        <v>16154.5</v>
      </c>
      <c r="D9" s="86" t="s">
        <v>171</v>
      </c>
      <c r="E9" s="98"/>
    </row>
    <row r="10" spans="1:5" ht="14.25">
      <c r="A10" s="84" t="s">
        <v>187</v>
      </c>
      <c r="B10" s="86" t="s">
        <v>172</v>
      </c>
      <c r="C10" s="18">
        <f>(10*1500*2)+1500</f>
        <v>31500</v>
      </c>
      <c r="D10" s="86" t="s">
        <v>494</v>
      </c>
      <c r="E10" s="98"/>
    </row>
    <row r="11" spans="1:5" ht="14.25">
      <c r="A11" s="84" t="s">
        <v>187</v>
      </c>
      <c r="B11" s="86" t="s">
        <v>173</v>
      </c>
      <c r="C11" s="100">
        <f>3950+1200</f>
        <v>5150</v>
      </c>
      <c r="D11" s="122" t="s">
        <v>174</v>
      </c>
      <c r="E11" s="98"/>
    </row>
    <row r="12" spans="1:5" ht="13.15">
      <c r="A12" s="98" t="s">
        <v>175</v>
      </c>
      <c r="B12" s="101" t="s">
        <v>176</v>
      </c>
      <c r="C12" s="100">
        <v>220000</v>
      </c>
      <c r="D12" s="101" t="s">
        <v>495</v>
      </c>
      <c r="E12" s="98"/>
    </row>
    <row r="13" spans="1:5" ht="15.75" customHeight="1">
      <c r="A13" s="98" t="s">
        <v>177</v>
      </c>
      <c r="B13" s="101" t="s">
        <v>178</v>
      </c>
      <c r="C13" s="100">
        <v>16422</v>
      </c>
      <c r="D13" s="101" t="s">
        <v>496</v>
      </c>
      <c r="E13" s="98"/>
    </row>
    <row r="14" spans="1:5" ht="13.15">
      <c r="A14" s="99"/>
      <c r="B14" s="102" t="s">
        <v>4</v>
      </c>
      <c r="C14" s="103">
        <f>SUM(C8:C13)</f>
        <v>555778.86</v>
      </c>
      <c r="D14" s="102"/>
      <c r="E14" s="98"/>
    </row>
    <row r="15" spans="1:5" ht="21">
      <c r="A15" s="80"/>
      <c r="B15" s="81" t="s">
        <v>7</v>
      </c>
      <c r="C15" s="104"/>
      <c r="D15" s="104"/>
      <c r="E15" s="98"/>
    </row>
    <row r="16" spans="1:5" ht="14.25">
      <c r="A16" s="196" t="s">
        <v>167</v>
      </c>
      <c r="B16" s="83" t="s">
        <v>113</v>
      </c>
      <c r="C16" s="83" t="s">
        <v>2</v>
      </c>
      <c r="D16" s="83" t="s">
        <v>112</v>
      </c>
      <c r="E16" s="98"/>
    </row>
    <row r="17" spans="1:5" ht="14.25">
      <c r="A17" s="84" t="s">
        <v>179</v>
      </c>
      <c r="B17" s="91" t="s">
        <v>180</v>
      </c>
      <c r="C17" s="100">
        <v>18648.560000000001</v>
      </c>
      <c r="D17" s="86" t="s">
        <v>181</v>
      </c>
      <c r="E17" s="98"/>
    </row>
    <row r="18" spans="1:5" ht="14.25">
      <c r="A18" s="84" t="s">
        <v>182</v>
      </c>
      <c r="B18" s="91" t="s">
        <v>180</v>
      </c>
      <c r="C18" s="123">
        <v>11988.36</v>
      </c>
      <c r="D18" s="86" t="s">
        <v>181</v>
      </c>
      <c r="E18" s="98"/>
    </row>
    <row r="19" spans="1:5" ht="14.25">
      <c r="A19" s="84" t="s">
        <v>183</v>
      </c>
      <c r="B19" s="91" t="s">
        <v>180</v>
      </c>
      <c r="C19" s="100">
        <v>22644.68</v>
      </c>
      <c r="D19" s="86" t="s">
        <v>181</v>
      </c>
      <c r="E19" s="98"/>
    </row>
    <row r="20" spans="1:5" ht="14.25">
      <c r="A20" s="121" t="s">
        <v>184</v>
      </c>
      <c r="B20" s="106" t="s">
        <v>185</v>
      </c>
      <c r="C20" s="105">
        <v>10000</v>
      </c>
      <c r="D20" s="124" t="s">
        <v>186</v>
      </c>
      <c r="E20" s="98"/>
    </row>
    <row r="21" spans="1:5" ht="14.25">
      <c r="A21" s="84" t="s">
        <v>187</v>
      </c>
      <c r="B21" s="86" t="s">
        <v>188</v>
      </c>
      <c r="C21" s="100">
        <f>3437.19+150</f>
        <v>3587.19</v>
      </c>
      <c r="D21" s="90" t="s">
        <v>189</v>
      </c>
      <c r="E21" s="98"/>
    </row>
    <row r="22" spans="1:5" ht="14.25">
      <c r="A22" s="84" t="s">
        <v>187</v>
      </c>
      <c r="B22" s="101" t="s">
        <v>190</v>
      </c>
      <c r="C22" s="100">
        <v>7473.38</v>
      </c>
      <c r="D22" s="101" t="s">
        <v>191</v>
      </c>
      <c r="E22" s="98"/>
    </row>
    <row r="23" spans="1:5" ht="14.25">
      <c r="A23" s="84" t="s">
        <v>187</v>
      </c>
      <c r="B23" s="86" t="s">
        <v>119</v>
      </c>
      <c r="C23" s="100">
        <v>600</v>
      </c>
      <c r="D23" s="101" t="s">
        <v>192</v>
      </c>
      <c r="E23" s="98"/>
    </row>
    <row r="24" spans="1:5" ht="14.25">
      <c r="A24" s="84" t="s">
        <v>187</v>
      </c>
      <c r="B24" s="106" t="s">
        <v>180</v>
      </c>
      <c r="C24" s="105">
        <v>400</v>
      </c>
      <c r="D24" s="106" t="s">
        <v>497</v>
      </c>
      <c r="E24" s="98"/>
    </row>
    <row r="25" spans="1:5" ht="14.25">
      <c r="A25" s="84" t="s">
        <v>187</v>
      </c>
      <c r="B25" s="101" t="s">
        <v>515</v>
      </c>
      <c r="C25" s="100">
        <f>3123.14+9673.43+4500</f>
        <v>17296.57</v>
      </c>
      <c r="D25" s="101" t="s">
        <v>340</v>
      </c>
      <c r="E25" s="98"/>
    </row>
    <row r="26" spans="1:5" ht="14.25">
      <c r="A26" s="84" t="s">
        <v>187</v>
      </c>
      <c r="B26" s="108" t="s">
        <v>193</v>
      </c>
      <c r="C26" s="107">
        <v>1500</v>
      </c>
      <c r="D26" s="118" t="s">
        <v>498</v>
      </c>
      <c r="E26" s="98"/>
    </row>
    <row r="27" spans="1:5" ht="14.25">
      <c r="A27" s="84" t="s">
        <v>187</v>
      </c>
      <c r="B27" s="101" t="s">
        <v>140</v>
      </c>
      <c r="C27" s="100">
        <v>840</v>
      </c>
      <c r="D27" s="101" t="s">
        <v>194</v>
      </c>
      <c r="E27" s="98"/>
    </row>
    <row r="28" spans="1:5" ht="14.25">
      <c r="A28" s="84" t="s">
        <v>187</v>
      </c>
      <c r="B28" s="177" t="s">
        <v>195</v>
      </c>
      <c r="C28" s="178">
        <v>5153.8100000000004</v>
      </c>
      <c r="D28" s="126" t="s">
        <v>196</v>
      </c>
      <c r="E28" s="98"/>
    </row>
    <row r="29" spans="1:5" ht="15.75" customHeight="1">
      <c r="A29" s="84" t="s">
        <v>187</v>
      </c>
      <c r="B29" s="106" t="s">
        <v>197</v>
      </c>
      <c r="C29" s="105">
        <v>2891.6</v>
      </c>
      <c r="D29" s="101" t="s">
        <v>196</v>
      </c>
      <c r="E29" s="98"/>
    </row>
    <row r="30" spans="1:5" ht="15.75" customHeight="1">
      <c r="A30" s="84" t="s">
        <v>187</v>
      </c>
      <c r="B30" s="134" t="s">
        <v>198</v>
      </c>
      <c r="C30" s="179">
        <v>2552.7399999999998</v>
      </c>
      <c r="D30" s="101" t="s">
        <v>339</v>
      </c>
      <c r="E30" s="98"/>
    </row>
    <row r="31" spans="1:5" ht="15.75" customHeight="1">
      <c r="A31" s="84" t="s">
        <v>187</v>
      </c>
      <c r="B31" s="134" t="s">
        <v>199</v>
      </c>
      <c r="C31" s="179">
        <v>1431.36</v>
      </c>
      <c r="D31" s="101" t="s">
        <v>339</v>
      </c>
      <c r="E31" s="98"/>
    </row>
    <row r="32" spans="1:5" ht="15.75" customHeight="1">
      <c r="A32" s="125" t="s">
        <v>200</v>
      </c>
      <c r="B32" s="106" t="s">
        <v>180</v>
      </c>
      <c r="C32" s="105">
        <v>500</v>
      </c>
      <c r="D32" s="106" t="s">
        <v>201</v>
      </c>
      <c r="E32" s="98"/>
    </row>
    <row r="33" spans="1:5" ht="15.75" customHeight="1">
      <c r="A33" s="98" t="s">
        <v>177</v>
      </c>
      <c r="B33" s="101" t="s">
        <v>132</v>
      </c>
      <c r="C33" s="100">
        <v>25299.61</v>
      </c>
      <c r="D33" s="126" t="s">
        <v>202</v>
      </c>
      <c r="E33" s="98"/>
    </row>
    <row r="34" spans="1:5" ht="15.75" customHeight="1">
      <c r="A34" s="98" t="s">
        <v>177</v>
      </c>
      <c r="B34" s="101" t="s">
        <v>119</v>
      </c>
      <c r="C34" s="100">
        <v>400</v>
      </c>
      <c r="D34" s="101" t="s">
        <v>203</v>
      </c>
      <c r="E34" s="98"/>
    </row>
    <row r="35" spans="1:5" ht="15.75" customHeight="1">
      <c r="A35" s="98" t="s">
        <v>177</v>
      </c>
      <c r="B35" s="101" t="s">
        <v>204</v>
      </c>
      <c r="C35" s="100">
        <v>900</v>
      </c>
      <c r="D35" s="101" t="s">
        <v>499</v>
      </c>
      <c r="E35" s="98"/>
    </row>
    <row r="36" spans="1:5" ht="15.75" customHeight="1">
      <c r="A36" s="98" t="s">
        <v>177</v>
      </c>
      <c r="B36" s="101" t="s">
        <v>205</v>
      </c>
      <c r="C36" s="100">
        <v>1600</v>
      </c>
      <c r="D36" s="101" t="s">
        <v>206</v>
      </c>
      <c r="E36" s="98"/>
    </row>
    <row r="37" spans="1:5" ht="15.75" customHeight="1">
      <c r="A37" s="98" t="s">
        <v>177</v>
      </c>
      <c r="B37" s="101" t="s">
        <v>207</v>
      </c>
      <c r="C37" s="100">
        <v>115</v>
      </c>
      <c r="D37" s="108"/>
      <c r="E37" s="98"/>
    </row>
    <row r="38" spans="1:5" ht="15.75" customHeight="1">
      <c r="A38" s="98" t="s">
        <v>177</v>
      </c>
      <c r="B38" s="101" t="s">
        <v>208</v>
      </c>
      <c r="C38" s="100">
        <v>5100</v>
      </c>
      <c r="D38" s="108" t="s">
        <v>500</v>
      </c>
      <c r="E38" s="98"/>
    </row>
    <row r="39" spans="1:5" ht="15.75" customHeight="1">
      <c r="A39" s="98" t="s">
        <v>177</v>
      </c>
      <c r="B39" s="126" t="s">
        <v>209</v>
      </c>
      <c r="C39" s="109">
        <v>250</v>
      </c>
      <c r="D39" s="126" t="s">
        <v>210</v>
      </c>
      <c r="E39" s="98"/>
    </row>
    <row r="40" spans="1:5" ht="15.75" customHeight="1">
      <c r="A40" s="98" t="s">
        <v>177</v>
      </c>
      <c r="B40" s="101" t="s">
        <v>211</v>
      </c>
      <c r="C40" s="100">
        <v>5726.31</v>
      </c>
      <c r="D40" s="108" t="s">
        <v>212</v>
      </c>
      <c r="E40" s="98"/>
    </row>
    <row r="41" spans="1:5" ht="15.75" customHeight="1">
      <c r="A41" s="98" t="s">
        <v>175</v>
      </c>
      <c r="B41" s="101" t="s">
        <v>213</v>
      </c>
      <c r="C41" s="100">
        <v>169263.51</v>
      </c>
      <c r="D41" s="108" t="s">
        <v>214</v>
      </c>
      <c r="E41" s="98"/>
    </row>
    <row r="42" spans="1:5" ht="15.75" customHeight="1">
      <c r="A42" s="98" t="s">
        <v>175</v>
      </c>
      <c r="B42" s="311" t="s">
        <v>215</v>
      </c>
      <c r="C42" s="100">
        <v>5820</v>
      </c>
      <c r="D42" s="90" t="s">
        <v>264</v>
      </c>
      <c r="E42" s="98"/>
    </row>
    <row r="43" spans="1:5" ht="15.75" customHeight="1">
      <c r="A43" s="110"/>
      <c r="B43" s="111" t="s">
        <v>15</v>
      </c>
      <c r="C43" s="112">
        <f>SUM(C17:C42)</f>
        <v>321982.68000000005</v>
      </c>
      <c r="D43" s="111"/>
      <c r="E43" s="98"/>
    </row>
    <row r="44" spans="1:5" ht="15.75" customHeight="1">
      <c r="A44" s="113"/>
      <c r="B44" s="93" t="s">
        <v>17</v>
      </c>
      <c r="C44" s="114">
        <f>C14-C43</f>
        <v>233796.17999999993</v>
      </c>
      <c r="D44" s="115"/>
      <c r="E44" s="98"/>
    </row>
    <row r="45" spans="1:5" ht="15.75" customHeight="1">
      <c r="A45" s="98"/>
      <c r="B45" s="98"/>
      <c r="C45" s="98"/>
      <c r="D45" s="98"/>
      <c r="E45" s="98"/>
    </row>
    <row r="46" spans="1:5" ht="15.75" customHeight="1">
      <c r="A46" s="195" t="s">
        <v>338</v>
      </c>
      <c r="B46" s="176" t="s">
        <v>481</v>
      </c>
      <c r="C46" s="98"/>
      <c r="D46" s="98"/>
      <c r="E46" s="98"/>
    </row>
    <row r="47" spans="1:5" ht="15.75" customHeight="1">
      <c r="B47" s="176" t="s">
        <v>482</v>
      </c>
    </row>
    <row r="48" spans="1:5" ht="15.75" customHeight="1">
      <c r="B48" s="176" t="s">
        <v>485</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outlinePr summaryBelow="0" summaryRight="0"/>
  </sheetPr>
  <dimension ref="A1:E28"/>
  <sheetViews>
    <sheetView zoomScale="70" zoomScaleNormal="70" zoomScaleSheetLayoutView="100" workbookViewId="0">
      <selection activeCell="B34" sqref="B34"/>
    </sheetView>
  </sheetViews>
  <sheetFormatPr defaultColWidth="14.46484375" defaultRowHeight="15.75" customHeight="1"/>
  <cols>
    <col min="1" max="1" width="45.1328125" bestFit="1" customWidth="1"/>
    <col min="2" max="2" width="45.59765625" customWidth="1"/>
    <col min="3" max="3" width="15.59765625" customWidth="1"/>
    <col min="4" max="4" width="151.6640625" bestFit="1" customWidth="1"/>
  </cols>
  <sheetData>
    <row r="1" spans="1:5" ht="25.5">
      <c r="A1" s="72" t="s">
        <v>300</v>
      </c>
      <c r="B1" s="95"/>
      <c r="C1" s="96"/>
      <c r="D1" s="96"/>
      <c r="E1" s="73"/>
    </row>
    <row r="2" spans="1:5" ht="25.5">
      <c r="A2" s="74" t="s">
        <v>22</v>
      </c>
      <c r="B2" s="95"/>
      <c r="C2" s="96"/>
      <c r="D2" s="96"/>
      <c r="E2" s="73"/>
    </row>
    <row r="3" spans="1:5" ht="14.25">
      <c r="A3" s="75" t="s">
        <v>216</v>
      </c>
      <c r="B3" s="95"/>
      <c r="C3" s="96"/>
      <c r="D3" s="96"/>
      <c r="E3" s="73"/>
    </row>
    <row r="4" spans="1:5" ht="13.15">
      <c r="A4" s="97"/>
      <c r="B4" s="95"/>
      <c r="C4" s="96"/>
      <c r="D4" s="96"/>
      <c r="E4" s="73"/>
    </row>
    <row r="5" spans="1:5" ht="13.15">
      <c r="A5" s="98"/>
      <c r="B5" s="98"/>
      <c r="C5" s="98"/>
      <c r="D5" s="98"/>
    </row>
    <row r="6" spans="1:5" ht="21">
      <c r="A6" s="76" t="s">
        <v>110</v>
      </c>
      <c r="B6" s="77" t="s">
        <v>0</v>
      </c>
      <c r="C6" s="99"/>
      <c r="D6" s="99"/>
    </row>
    <row r="7" spans="1:5" ht="14.25">
      <c r="A7" s="98"/>
      <c r="B7" s="78" t="s">
        <v>113</v>
      </c>
      <c r="C7" s="78" t="s">
        <v>2</v>
      </c>
      <c r="D7" s="78" t="s">
        <v>112</v>
      </c>
    </row>
    <row r="8" spans="1:5" ht="14.25">
      <c r="A8" s="84"/>
      <c r="B8" s="86"/>
      <c r="C8" s="100"/>
      <c r="D8" s="101"/>
    </row>
    <row r="9" spans="1:5" ht="13.15">
      <c r="A9" s="99"/>
      <c r="B9" s="102" t="s">
        <v>4</v>
      </c>
      <c r="C9" s="103">
        <f>SUM(C8:C8)</f>
        <v>0</v>
      </c>
      <c r="D9" s="102"/>
    </row>
    <row r="10" spans="1:5" ht="21">
      <c r="A10" s="80"/>
      <c r="B10" s="81" t="s">
        <v>7</v>
      </c>
      <c r="C10" s="104"/>
      <c r="D10" s="104"/>
    </row>
    <row r="11" spans="1:5" ht="14.25">
      <c r="A11" s="196" t="s">
        <v>110</v>
      </c>
      <c r="B11" s="82" t="s">
        <v>113</v>
      </c>
      <c r="C11" s="82" t="s">
        <v>2</v>
      </c>
      <c r="D11" s="82" t="s">
        <v>26</v>
      </c>
    </row>
    <row r="12" spans="1:5" ht="14.25">
      <c r="A12" s="84" t="s">
        <v>501</v>
      </c>
      <c r="B12" s="85" t="s">
        <v>217</v>
      </c>
      <c r="C12" s="116">
        <v>1000</v>
      </c>
      <c r="D12" s="87" t="s">
        <v>502</v>
      </c>
    </row>
    <row r="13" spans="1:5" ht="15.75" customHeight="1">
      <c r="A13" s="84" t="s">
        <v>218</v>
      </c>
      <c r="B13" s="127" t="s">
        <v>119</v>
      </c>
      <c r="C13" s="116">
        <v>400</v>
      </c>
      <c r="D13" s="87" t="s">
        <v>219</v>
      </c>
    </row>
    <row r="14" spans="1:5" ht="14.25">
      <c r="A14" s="49" t="s">
        <v>220</v>
      </c>
      <c r="B14" s="85" t="s">
        <v>217</v>
      </c>
      <c r="C14" s="116">
        <v>5000</v>
      </c>
      <c r="D14" s="87" t="s">
        <v>221</v>
      </c>
    </row>
    <row r="15" spans="1:5" ht="14.25">
      <c r="A15" s="49" t="s">
        <v>222</v>
      </c>
      <c r="B15" s="85" t="s">
        <v>217</v>
      </c>
      <c r="C15" s="116">
        <v>1000</v>
      </c>
      <c r="D15" s="87" t="s">
        <v>223</v>
      </c>
    </row>
    <row r="16" spans="1:5" ht="13.15">
      <c r="A16" s="98"/>
      <c r="B16" s="127"/>
      <c r="C16" s="116"/>
      <c r="D16" s="127"/>
    </row>
    <row r="17" spans="1:4" ht="13.15">
      <c r="A17" s="98"/>
      <c r="B17" s="127"/>
      <c r="C17" s="116"/>
      <c r="D17" s="127"/>
    </row>
    <row r="18" spans="1:4" ht="13.15">
      <c r="A18" s="110"/>
      <c r="B18" s="128" t="s">
        <v>15</v>
      </c>
      <c r="C18" s="129">
        <f>SUM(C12:C16)</f>
        <v>7400</v>
      </c>
      <c r="D18" s="128"/>
    </row>
    <row r="19" spans="1:4" ht="13.15">
      <c r="A19" s="98"/>
      <c r="B19" s="101"/>
      <c r="C19" s="101"/>
      <c r="D19" s="101"/>
    </row>
    <row r="20" spans="1:4" ht="21">
      <c r="A20" s="113"/>
      <c r="B20" s="93" t="s">
        <v>17</v>
      </c>
      <c r="C20" s="114">
        <f>C9-C18</f>
        <v>-7400</v>
      </c>
      <c r="D20" s="115"/>
    </row>
    <row r="21" spans="1:4" ht="12.75"/>
    <row r="22" spans="1:4" ht="12.75"/>
    <row r="23" spans="1:4" ht="13.15">
      <c r="A23" s="212" t="s">
        <v>337</v>
      </c>
      <c r="B23" s="176" t="s">
        <v>484</v>
      </c>
    </row>
    <row r="24" spans="1:4" ht="12.75">
      <c r="B24" s="176" t="s">
        <v>483</v>
      </c>
    </row>
    <row r="25" spans="1:4" ht="12.75"/>
    <row r="26" spans="1:4" ht="12.75"/>
    <row r="27" spans="1:4" ht="12.75"/>
    <row r="28" spans="1:4" ht="12.75"/>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3C47D"/>
    <outlinePr summaryBelow="0" summaryRight="0"/>
  </sheetPr>
  <dimension ref="A1:E36"/>
  <sheetViews>
    <sheetView zoomScale="70" zoomScaleNormal="70" zoomScaleSheetLayoutView="90" workbookViewId="0">
      <selection activeCell="E17" sqref="E17"/>
    </sheetView>
  </sheetViews>
  <sheetFormatPr defaultColWidth="14.46484375" defaultRowHeight="15.75" customHeight="1"/>
  <cols>
    <col min="1" max="1" width="43.9296875" bestFit="1" customWidth="1"/>
    <col min="2" max="2" width="45.59765625" customWidth="1"/>
    <col min="3" max="3" width="15.59765625" customWidth="1"/>
    <col min="4" max="4" width="71.1328125" bestFit="1" customWidth="1"/>
  </cols>
  <sheetData>
    <row r="1" spans="1:5" ht="25.5">
      <c r="A1" s="72" t="s">
        <v>299</v>
      </c>
      <c r="B1" s="95"/>
      <c r="C1" s="96"/>
      <c r="D1" s="96"/>
      <c r="E1" s="95"/>
    </row>
    <row r="2" spans="1:5" ht="25.5">
      <c r="A2" s="74" t="s">
        <v>22</v>
      </c>
      <c r="B2" s="95"/>
      <c r="C2" s="96"/>
      <c r="D2" s="96"/>
      <c r="E2" s="95"/>
    </row>
    <row r="3" spans="1:5" ht="14.25">
      <c r="A3" s="75" t="s">
        <v>224</v>
      </c>
      <c r="B3" s="95"/>
      <c r="C3" s="96"/>
      <c r="D3" s="96"/>
      <c r="E3" s="95"/>
    </row>
    <row r="4" spans="1:5" ht="13.15">
      <c r="A4" s="95"/>
      <c r="B4" s="97"/>
      <c r="C4" s="96"/>
      <c r="D4" s="96"/>
      <c r="E4" s="95"/>
    </row>
    <row r="5" spans="1:5" ht="13.15">
      <c r="A5" s="98"/>
      <c r="B5" s="98"/>
      <c r="C5" s="98"/>
      <c r="D5" s="98"/>
      <c r="E5" s="98"/>
    </row>
    <row r="6" spans="1:5" ht="21">
      <c r="A6" s="76"/>
      <c r="B6" s="77" t="s">
        <v>0</v>
      </c>
      <c r="C6" s="99"/>
      <c r="D6" s="99"/>
      <c r="E6" s="98"/>
    </row>
    <row r="7" spans="1:5" ht="14.25">
      <c r="A7" s="197" t="s">
        <v>110</v>
      </c>
      <c r="B7" s="78" t="s">
        <v>113</v>
      </c>
      <c r="C7" s="78" t="s">
        <v>2</v>
      </c>
      <c r="D7" s="78" t="s">
        <v>26</v>
      </c>
      <c r="E7" s="98"/>
    </row>
    <row r="8" spans="1:5" ht="14.25">
      <c r="A8" s="84" t="s">
        <v>225</v>
      </c>
      <c r="B8" s="86" t="s">
        <v>226</v>
      </c>
      <c r="C8" s="100">
        <v>30000</v>
      </c>
      <c r="D8" s="86" t="s">
        <v>227</v>
      </c>
      <c r="E8" s="98"/>
    </row>
    <row r="9" spans="1:5" ht="13.15">
      <c r="A9" s="98"/>
      <c r="B9" s="101"/>
      <c r="C9" s="100"/>
      <c r="D9" s="101"/>
      <c r="E9" s="98"/>
    </row>
    <row r="10" spans="1:5" ht="13.15">
      <c r="A10" s="99"/>
      <c r="B10" s="102" t="s">
        <v>4</v>
      </c>
      <c r="C10" s="103">
        <f>SUM(C8:C9)</f>
        <v>30000</v>
      </c>
      <c r="D10" s="102"/>
      <c r="E10" s="98"/>
    </row>
    <row r="11" spans="1:5" ht="21">
      <c r="A11" s="130"/>
      <c r="B11" s="81" t="s">
        <v>7</v>
      </c>
      <c r="C11" s="104"/>
      <c r="D11" s="104"/>
      <c r="E11" s="98"/>
    </row>
    <row r="12" spans="1:5" ht="14.25">
      <c r="A12" s="196" t="s">
        <v>167</v>
      </c>
      <c r="B12" s="83" t="s">
        <v>228</v>
      </c>
      <c r="C12" s="83" t="s">
        <v>2</v>
      </c>
      <c r="D12" s="83" t="s">
        <v>112</v>
      </c>
      <c r="E12" s="98"/>
    </row>
    <row r="13" spans="1:5" ht="14.25">
      <c r="A13" s="121" t="s">
        <v>225</v>
      </c>
      <c r="B13" s="91" t="s">
        <v>229</v>
      </c>
      <c r="C13" s="105">
        <v>30000</v>
      </c>
      <c r="D13" s="131" t="s">
        <v>230</v>
      </c>
      <c r="E13" s="98"/>
    </row>
    <row r="14" spans="1:5" ht="14.25">
      <c r="A14" s="84" t="s">
        <v>231</v>
      </c>
      <c r="B14" s="17" t="s">
        <v>119</v>
      </c>
      <c r="C14" s="15">
        <v>437.69</v>
      </c>
      <c r="D14" s="101"/>
      <c r="E14" s="98"/>
    </row>
    <row r="15" spans="1:5" ht="14.25">
      <c r="A15" s="121" t="s">
        <v>232</v>
      </c>
      <c r="B15" s="132" t="s">
        <v>233</v>
      </c>
      <c r="C15" s="133">
        <v>800</v>
      </c>
      <c r="D15" s="131" t="s">
        <v>230</v>
      </c>
      <c r="E15" s="98"/>
    </row>
    <row r="16" spans="1:5" ht="14.25">
      <c r="A16" s="84" t="s">
        <v>234</v>
      </c>
      <c r="B16" s="86" t="s">
        <v>416</v>
      </c>
      <c r="C16" s="100">
        <v>8740.19</v>
      </c>
      <c r="D16" s="86" t="s">
        <v>235</v>
      </c>
      <c r="E16" s="98"/>
    </row>
    <row r="17" spans="1:5" ht="14.25">
      <c r="A17" s="84" t="s">
        <v>234</v>
      </c>
      <c r="B17" s="86" t="s">
        <v>207</v>
      </c>
      <c r="C17" s="100">
        <f>4192.52+256.34</f>
        <v>4448.8600000000006</v>
      </c>
      <c r="D17" s="90" t="s">
        <v>236</v>
      </c>
      <c r="E17" s="98"/>
    </row>
    <row r="18" spans="1:5" ht="13.15">
      <c r="A18" s="110"/>
      <c r="B18" s="111" t="s">
        <v>15</v>
      </c>
      <c r="C18" s="112">
        <f>SUM(C13:C17)</f>
        <v>44426.74</v>
      </c>
      <c r="D18" s="111"/>
      <c r="E18" s="98"/>
    </row>
    <row r="19" spans="1:5" ht="13.15">
      <c r="A19" s="98"/>
      <c r="B19" s="101"/>
      <c r="C19" s="101"/>
      <c r="D19" s="101"/>
      <c r="E19" s="98"/>
    </row>
    <row r="20" spans="1:5" ht="21">
      <c r="A20" s="113"/>
      <c r="B20" s="93" t="s">
        <v>17</v>
      </c>
      <c r="C20" s="114">
        <f>C10-C18</f>
        <v>-14426.739999999998</v>
      </c>
      <c r="D20" s="115"/>
      <c r="E20" s="98"/>
    </row>
    <row r="21" spans="1:5" ht="13.15">
      <c r="A21" s="98"/>
      <c r="B21" s="98"/>
      <c r="C21" s="98"/>
      <c r="D21" s="98"/>
      <c r="E21" s="98"/>
    </row>
    <row r="22" spans="1:5" ht="13.15">
      <c r="A22" s="195" t="s">
        <v>338</v>
      </c>
      <c r="B22" s="98" t="s">
        <v>481</v>
      </c>
      <c r="C22" s="98"/>
      <c r="D22" s="98"/>
      <c r="E22" s="98"/>
    </row>
    <row r="23" spans="1:5" ht="13.15">
      <c r="B23" s="312" t="s">
        <v>503</v>
      </c>
    </row>
    <row r="24" spans="1:5" ht="12.75"/>
    <row r="25" spans="1:5" ht="12.75"/>
    <row r="26" spans="1:5" ht="12.75"/>
    <row r="27" spans="1:5" ht="12.75"/>
    <row r="28" spans="1:5" ht="12.75"/>
    <row r="29" spans="1:5" ht="12.75"/>
    <row r="30" spans="1:5" ht="12.75"/>
    <row r="31" spans="1:5" ht="12.75"/>
    <row r="32" spans="1:5" ht="12.75"/>
    <row r="33" ht="12.75"/>
    <row r="34" ht="12.75"/>
    <row r="35" ht="12.75"/>
    <row r="36" ht="12.75"/>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119705-2B1B-4793-BFC6-A5F4AF056A71}">
  <sheetPr>
    <tabColor rgb="FF93C47D"/>
  </sheetPr>
  <dimension ref="A1:E26"/>
  <sheetViews>
    <sheetView zoomScale="60" zoomScaleNormal="60" workbookViewId="0">
      <selection activeCell="G13" sqref="G13"/>
    </sheetView>
  </sheetViews>
  <sheetFormatPr defaultRowHeight="12.75"/>
  <cols>
    <col min="1" max="1" width="45.1328125" bestFit="1" customWidth="1"/>
    <col min="2" max="2" width="45.59765625" customWidth="1"/>
    <col min="3" max="3" width="15.59765625" customWidth="1"/>
    <col min="4" max="4" width="121.1328125" bestFit="1" customWidth="1"/>
  </cols>
  <sheetData>
    <row r="1" spans="1:5" ht="25.5">
      <c r="A1" s="138" t="s">
        <v>298</v>
      </c>
      <c r="B1" s="139"/>
      <c r="C1" s="140"/>
      <c r="D1" s="140"/>
      <c r="E1" s="139"/>
    </row>
    <row r="2" spans="1:5" ht="25.5">
      <c r="A2" s="141" t="s">
        <v>22</v>
      </c>
      <c r="B2" s="139"/>
      <c r="C2" s="140"/>
      <c r="D2" s="140"/>
      <c r="E2" s="139"/>
    </row>
    <row r="3" spans="1:5" ht="14.25">
      <c r="A3" s="140" t="s">
        <v>251</v>
      </c>
      <c r="B3" s="139"/>
      <c r="C3" s="140"/>
      <c r="D3" s="140"/>
      <c r="E3" s="139"/>
    </row>
    <row r="4" spans="1:5" ht="14.25">
      <c r="A4" s="139"/>
      <c r="B4" s="142"/>
      <c r="C4" s="140"/>
      <c r="D4" s="140"/>
      <c r="E4" s="139"/>
    </row>
    <row r="5" spans="1:5" ht="14.25">
      <c r="A5" s="143"/>
      <c r="B5" s="143"/>
      <c r="C5" s="143"/>
      <c r="D5" s="143"/>
      <c r="E5" s="143"/>
    </row>
    <row r="6" spans="1:5" ht="21">
      <c r="A6" s="144"/>
      <c r="B6" s="145" t="s">
        <v>0</v>
      </c>
      <c r="C6" s="146"/>
      <c r="D6" s="146"/>
      <c r="E6" s="143"/>
    </row>
    <row r="7" spans="1:5" ht="14.25">
      <c r="A7" s="144" t="s">
        <v>167</v>
      </c>
      <c r="B7" s="147" t="s">
        <v>228</v>
      </c>
      <c r="C7" s="147" t="s">
        <v>2</v>
      </c>
      <c r="D7" s="147" t="s">
        <v>3</v>
      </c>
      <c r="E7" s="143"/>
    </row>
    <row r="8" spans="1:5" ht="15.75">
      <c r="A8" s="143" t="s">
        <v>252</v>
      </c>
      <c r="B8" s="221" t="s">
        <v>341</v>
      </c>
      <c r="C8" s="148">
        <v>25000</v>
      </c>
      <c r="D8" s="150" t="s">
        <v>253</v>
      </c>
      <c r="E8" s="143"/>
    </row>
    <row r="9" spans="1:5" ht="15.75">
      <c r="A9" s="143" t="s">
        <v>254</v>
      </c>
      <c r="B9" s="150" t="s">
        <v>242</v>
      </c>
      <c r="C9" s="151">
        <v>1500</v>
      </c>
      <c r="D9" s="150" t="s">
        <v>255</v>
      </c>
      <c r="E9" s="143"/>
    </row>
    <row r="10" spans="1:5" ht="14.25">
      <c r="A10" s="143"/>
      <c r="B10" s="150"/>
      <c r="C10" s="149"/>
      <c r="D10" s="150"/>
      <c r="E10" s="143"/>
    </row>
    <row r="11" spans="1:5" ht="14.25">
      <c r="A11" s="146"/>
      <c r="B11" s="152" t="s">
        <v>4</v>
      </c>
      <c r="C11" s="153">
        <f>SUM(C8:C10)</f>
        <v>26500</v>
      </c>
      <c r="D11" s="152"/>
      <c r="E11" s="143"/>
    </row>
    <row r="12" spans="1:5" ht="21">
      <c r="A12" s="154"/>
      <c r="B12" s="155" t="s">
        <v>7</v>
      </c>
      <c r="C12" s="156"/>
      <c r="D12" s="156"/>
      <c r="E12" s="143"/>
    </row>
    <row r="13" spans="1:5" ht="14.25">
      <c r="A13" s="154" t="s">
        <v>167</v>
      </c>
      <c r="B13" s="158" t="s">
        <v>228</v>
      </c>
      <c r="C13" s="158" t="s">
        <v>2</v>
      </c>
      <c r="D13" s="158" t="s">
        <v>3</v>
      </c>
      <c r="E13" s="143"/>
    </row>
    <row r="14" spans="1:5" ht="15.75">
      <c r="A14" s="143" t="s">
        <v>252</v>
      </c>
      <c r="B14" s="215" t="s">
        <v>132</v>
      </c>
      <c r="C14" s="151">
        <v>3000</v>
      </c>
      <c r="D14" s="150"/>
      <c r="E14" s="143"/>
    </row>
    <row r="15" spans="1:5" ht="15.75">
      <c r="A15" s="143" t="s">
        <v>252</v>
      </c>
      <c r="B15" s="216" t="s">
        <v>119</v>
      </c>
      <c r="C15" s="159">
        <v>5000</v>
      </c>
      <c r="D15" s="150"/>
      <c r="E15" s="143"/>
    </row>
    <row r="16" spans="1:5" ht="15.75">
      <c r="A16" s="143" t="s">
        <v>256</v>
      </c>
      <c r="B16" s="217" t="s">
        <v>233</v>
      </c>
      <c r="C16" s="159">
        <v>800</v>
      </c>
      <c r="D16" s="150" t="s">
        <v>257</v>
      </c>
      <c r="E16" s="143"/>
    </row>
    <row r="17" spans="1:5" ht="15.75">
      <c r="A17" s="161" t="s">
        <v>258</v>
      </c>
      <c r="B17" s="218" t="s">
        <v>233</v>
      </c>
      <c r="C17" s="159">
        <v>1000</v>
      </c>
      <c r="D17" s="162" t="s">
        <v>259</v>
      </c>
      <c r="E17" s="143"/>
    </row>
    <row r="18" spans="1:5" ht="15.75">
      <c r="A18" s="161" t="s">
        <v>260</v>
      </c>
      <c r="B18" s="219" t="s">
        <v>233</v>
      </c>
      <c r="C18" s="159">
        <v>800</v>
      </c>
      <c r="D18" s="150" t="s">
        <v>261</v>
      </c>
      <c r="E18" s="143"/>
    </row>
    <row r="19" spans="1:5" ht="15.75">
      <c r="A19" s="161" t="s">
        <v>262</v>
      </c>
      <c r="B19" s="220" t="s">
        <v>132</v>
      </c>
      <c r="C19" s="163">
        <v>800</v>
      </c>
      <c r="D19" s="164"/>
      <c r="E19" s="143"/>
    </row>
    <row r="20" spans="1:5" ht="15.75">
      <c r="A20" s="161" t="s">
        <v>262</v>
      </c>
      <c r="B20" s="220" t="s">
        <v>119</v>
      </c>
      <c r="C20" s="163">
        <v>1500</v>
      </c>
      <c r="D20" s="164"/>
      <c r="E20" s="143"/>
    </row>
    <row r="21" spans="1:5" ht="15.75">
      <c r="A21" s="143"/>
      <c r="B21" s="160"/>
      <c r="C21" s="163"/>
      <c r="D21" s="165"/>
      <c r="E21" s="143"/>
    </row>
    <row r="22" spans="1:5" ht="15.75">
      <c r="A22" s="157"/>
      <c r="B22" s="166" t="s">
        <v>15</v>
      </c>
      <c r="C22" s="167">
        <f>SUM(C14:C21)</f>
        <v>12900</v>
      </c>
      <c r="D22" s="168"/>
      <c r="E22" s="143"/>
    </row>
    <row r="23" spans="1:5" ht="14.25">
      <c r="A23" s="143"/>
      <c r="B23" s="150"/>
      <c r="C23" s="150"/>
      <c r="D23" s="150"/>
      <c r="E23" s="143"/>
    </row>
    <row r="24" spans="1:5" ht="21">
      <c r="A24" s="169"/>
      <c r="B24" s="170" t="s">
        <v>17</v>
      </c>
      <c r="C24" s="171">
        <f>C11-C22</f>
        <v>13600</v>
      </c>
      <c r="D24" s="172"/>
      <c r="E24" s="143"/>
    </row>
    <row r="25" spans="1:5" ht="14.25">
      <c r="A25" s="143"/>
      <c r="B25" s="143"/>
      <c r="C25" s="143"/>
      <c r="D25" s="143"/>
      <c r="E25" s="143"/>
    </row>
    <row r="26" spans="1:5" ht="14.25">
      <c r="A26" s="313" t="s">
        <v>338</v>
      </c>
      <c r="B26" s="143" t="s">
        <v>481</v>
      </c>
      <c r="C26" s="143"/>
      <c r="D26" s="143"/>
      <c r="E26" s="143"/>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39341B-5F96-45E4-BA66-D5CEC654ED48}">
  <sheetPr>
    <tabColor rgb="FF92D050"/>
  </sheetPr>
  <dimension ref="A1:E22"/>
  <sheetViews>
    <sheetView zoomScale="60" zoomScaleNormal="60" zoomScaleSheetLayoutView="100" workbookViewId="0">
      <selection activeCell="C11" sqref="C11"/>
    </sheetView>
  </sheetViews>
  <sheetFormatPr defaultRowHeight="12.75"/>
  <cols>
    <col min="1" max="1" width="43.9296875" bestFit="1" customWidth="1"/>
    <col min="2" max="2" width="45.59765625" customWidth="1"/>
    <col min="3" max="3" width="15.59765625" customWidth="1"/>
    <col min="4" max="4" width="80.59765625" customWidth="1"/>
  </cols>
  <sheetData>
    <row r="1" spans="1:5" ht="25.5">
      <c r="A1" s="72" t="s">
        <v>297</v>
      </c>
      <c r="B1" s="95"/>
      <c r="C1" s="96"/>
      <c r="D1" s="96"/>
      <c r="E1" s="95"/>
    </row>
    <row r="2" spans="1:5" ht="25.5">
      <c r="A2" s="74" t="s">
        <v>22</v>
      </c>
      <c r="B2" s="95"/>
      <c r="C2" s="96"/>
      <c r="D2" s="96"/>
      <c r="E2" s="95"/>
    </row>
    <row r="3" spans="1:5" ht="14.25">
      <c r="A3" s="75" t="s">
        <v>237</v>
      </c>
      <c r="B3" s="95"/>
      <c r="C3" s="96"/>
      <c r="D3" s="96"/>
      <c r="E3" s="95"/>
    </row>
    <row r="4" spans="1:5" ht="13.15">
      <c r="A4" s="95"/>
      <c r="B4" s="97"/>
      <c r="C4" s="96"/>
      <c r="D4" s="96"/>
      <c r="E4" s="95"/>
    </row>
    <row r="5" spans="1:5" ht="13.15">
      <c r="A5" s="98"/>
      <c r="B5" s="98"/>
      <c r="C5" s="98"/>
      <c r="D5" s="98"/>
      <c r="E5" s="98"/>
    </row>
    <row r="6" spans="1:5" ht="21">
      <c r="A6" s="76"/>
      <c r="B6" s="77" t="s">
        <v>0</v>
      </c>
      <c r="C6" s="99"/>
      <c r="D6" s="99"/>
      <c r="E6" s="98"/>
    </row>
    <row r="7" spans="1:5" ht="14.25">
      <c r="A7" s="197" t="s">
        <v>110</v>
      </c>
      <c r="B7" s="78" t="s">
        <v>113</v>
      </c>
      <c r="C7" s="78" t="s">
        <v>2</v>
      </c>
      <c r="D7" s="78" t="s">
        <v>26</v>
      </c>
      <c r="E7" s="98"/>
    </row>
    <row r="8" spans="1:5" ht="14.25">
      <c r="A8" s="84" t="s">
        <v>238</v>
      </c>
      <c r="B8" s="134" t="s">
        <v>239</v>
      </c>
      <c r="C8" s="135">
        <v>2200</v>
      </c>
      <c r="D8" s="86" t="s">
        <v>240</v>
      </c>
      <c r="E8" s="98"/>
    </row>
    <row r="9" spans="1:5" ht="14.25">
      <c r="A9" s="84" t="s">
        <v>238</v>
      </c>
      <c r="B9" s="91" t="s">
        <v>241</v>
      </c>
      <c r="C9" s="100">
        <v>2800</v>
      </c>
      <c r="D9" s="86"/>
      <c r="E9" s="98"/>
    </row>
    <row r="10" spans="1:5" ht="14.25">
      <c r="A10" s="84" t="s">
        <v>238</v>
      </c>
      <c r="B10" s="86" t="s">
        <v>242</v>
      </c>
      <c r="C10" s="100">
        <v>5000</v>
      </c>
      <c r="D10" s="86" t="s">
        <v>516</v>
      </c>
      <c r="E10" s="98"/>
    </row>
    <row r="11" spans="1:5" ht="14.25">
      <c r="A11" s="99"/>
      <c r="B11" s="136" t="s">
        <v>4</v>
      </c>
      <c r="C11" s="137">
        <f>SUM(C8:C10)</f>
        <v>10000</v>
      </c>
      <c r="D11" s="102"/>
      <c r="E11" s="98"/>
    </row>
    <row r="12" spans="1:5" ht="21">
      <c r="A12" s="80"/>
      <c r="B12" s="81" t="s">
        <v>7</v>
      </c>
      <c r="C12" s="104"/>
      <c r="D12" s="104"/>
      <c r="E12" s="98"/>
    </row>
    <row r="13" spans="1:5" ht="14.25">
      <c r="A13" s="196" t="s">
        <v>110</v>
      </c>
      <c r="B13" s="83" t="s">
        <v>113</v>
      </c>
      <c r="C13" s="83" t="s">
        <v>2</v>
      </c>
      <c r="D13" s="83" t="s">
        <v>26</v>
      </c>
      <c r="E13" s="98"/>
    </row>
    <row r="14" spans="1:5" ht="14.25">
      <c r="A14" s="84" t="s">
        <v>243</v>
      </c>
      <c r="B14" s="90" t="s">
        <v>513</v>
      </c>
      <c r="C14" s="107">
        <v>600</v>
      </c>
      <c r="D14" s="86" t="s">
        <v>244</v>
      </c>
      <c r="E14" s="98"/>
    </row>
    <row r="15" spans="1:5" ht="14.25">
      <c r="A15" s="84" t="s">
        <v>243</v>
      </c>
      <c r="B15" s="87" t="s">
        <v>245</v>
      </c>
      <c r="C15" s="116">
        <v>500</v>
      </c>
      <c r="D15" s="86" t="s">
        <v>246</v>
      </c>
      <c r="E15" s="98"/>
    </row>
    <row r="16" spans="1:5" ht="14.25">
      <c r="A16" s="84" t="s">
        <v>243</v>
      </c>
      <c r="B16" s="87" t="s">
        <v>247</v>
      </c>
      <c r="C16" s="116">
        <v>250</v>
      </c>
      <c r="D16" s="86" t="s">
        <v>248</v>
      </c>
      <c r="E16" s="98"/>
    </row>
    <row r="17" spans="1:5" ht="14.25">
      <c r="A17" s="84" t="s">
        <v>249</v>
      </c>
      <c r="B17" s="88" t="s">
        <v>250</v>
      </c>
      <c r="C17" s="116">
        <v>800</v>
      </c>
      <c r="D17" s="122"/>
      <c r="E17" s="98"/>
    </row>
    <row r="18" spans="1:5" ht="14.25">
      <c r="A18" s="84"/>
      <c r="B18" s="86"/>
      <c r="C18" s="100"/>
      <c r="D18" s="86"/>
      <c r="E18" s="98"/>
    </row>
    <row r="19" spans="1:5" ht="13.15">
      <c r="A19" s="110"/>
      <c r="B19" s="111" t="s">
        <v>15</v>
      </c>
      <c r="C19" s="112">
        <f>SUM(C14:C18)</f>
        <v>2150</v>
      </c>
      <c r="D19" s="111"/>
      <c r="E19" s="98"/>
    </row>
    <row r="20" spans="1:5" ht="21">
      <c r="A20" s="113"/>
      <c r="B20" s="93" t="s">
        <v>17</v>
      </c>
      <c r="C20" s="114">
        <f>C11-C19</f>
        <v>7850</v>
      </c>
      <c r="D20" s="115"/>
      <c r="E20" s="98"/>
    </row>
    <row r="21" spans="1:5" ht="13.15">
      <c r="A21" s="98"/>
      <c r="B21" s="98"/>
      <c r="C21" s="98"/>
      <c r="D21" s="98"/>
      <c r="E21" s="98"/>
    </row>
    <row r="22" spans="1:5" ht="13.15">
      <c r="A22" s="195" t="s">
        <v>338</v>
      </c>
      <c r="B22" s="98" t="s">
        <v>481</v>
      </c>
      <c r="C22" s="98"/>
      <c r="D22" s="98"/>
      <c r="E22" s="98"/>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1) Introduction</vt:lpstr>
      <vt:lpstr>2) AUS Operating Summary</vt:lpstr>
      <vt:lpstr>3) President</vt:lpstr>
      <vt:lpstr>4) VP Internal</vt:lpstr>
      <vt:lpstr>5) VP Finance</vt:lpstr>
      <vt:lpstr>6) VP Academic</vt:lpstr>
      <vt:lpstr>7) VP Communications</vt:lpstr>
      <vt:lpstr>8) VP External</vt:lpstr>
      <vt:lpstr>9) VP Services</vt:lpstr>
      <vt:lpstr>10) VP Social</vt:lpstr>
      <vt:lpstr>11) Stipends and Wages FY2020</vt:lpstr>
      <vt:lpstr>12) Departments</vt:lpstr>
      <vt:lpstr>13) Future Outlook</vt:lpstr>
      <vt:lpstr>14) Revenue Projections</vt:lpstr>
      <vt:lpstr>15) Expense Projections</vt:lpstr>
      <vt:lpstr>Reference Projections FY2020</vt:lpstr>
      <vt:lpstr>Reference Projections on FY2020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Stefan Suvajac</dc:creator>
  <cp:lastModifiedBy>Stefan Suvajac</cp:lastModifiedBy>
  <cp:lastPrinted>2019-11-18T21:11:29Z</cp:lastPrinted>
  <dcterms:created xsi:type="dcterms:W3CDTF">2018-10-15T04:04:02Z</dcterms:created>
  <dcterms:modified xsi:type="dcterms:W3CDTF">2020-01-29T18:29:08Z</dcterms:modified>
</cp:coreProperties>
</file>